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536" windowWidth="14820" windowHeight="4452" tabRatio="882" activeTab="0"/>
  </bookViews>
  <sheets>
    <sheet name="Westar Energy" sheetId="1" r:id="rId1"/>
    <sheet name="WEN" sheetId="2" r:id="rId2"/>
    <sheet name="WES" sheetId="3" r:id="rId3"/>
    <sheet name="Worksheet A" sheetId="4" r:id="rId4"/>
    <sheet name="Worksheet B" sheetId="5" r:id="rId5"/>
    <sheet name="Worksheet C" sheetId="6" r:id="rId6"/>
    <sheet name="Worksheet D" sheetId="7" r:id="rId7"/>
    <sheet name="Worksheet E" sheetId="8" r:id="rId8"/>
    <sheet name="Worksheet F" sheetId="9" r:id="rId9"/>
    <sheet name="Worksheet G" sheetId="10" r:id="rId10"/>
  </sheets>
  <definedNames>
    <definedName name="_xlnm.Print_Area" localSheetId="1">'WEN'!$A$1:$L$235</definedName>
    <definedName name="_xlnm.Print_Area" localSheetId="2">'WES'!$A$1:$L$234</definedName>
    <definedName name="_xlnm.Print_Area" localSheetId="0">'Westar Energy'!$A$1:$L$61</definedName>
    <definedName name="_xlnm.Print_Area" localSheetId="3">'Worksheet A'!$A$1:$U$113</definedName>
    <definedName name="_xlnm.Print_Area" localSheetId="4">'Worksheet B'!$A$1:$Q$172</definedName>
    <definedName name="_xlnm.Print_Area" localSheetId="5">'Worksheet C'!$A$1:$J$36</definedName>
    <definedName name="_xlnm.Print_Area" localSheetId="6">'Worksheet D'!$A$1:$L$11</definedName>
    <definedName name="_xlnm.Print_Area" localSheetId="7">'Worksheet E'!$A$1:$J$171</definedName>
    <definedName name="_xlnm.Print_Area" localSheetId="8">'Worksheet F'!$A$1:$L$11</definedName>
    <definedName name="_xlnm.Print_Titles" localSheetId="3">'Worksheet A'!$B:$D</definedName>
  </definedNames>
  <calcPr fullCalcOnLoad="1"/>
</workbook>
</file>

<file path=xl/comments5.xml><?xml version="1.0" encoding="utf-8"?>
<comments xmlns="http://schemas.openxmlformats.org/spreadsheetml/2006/main">
  <authors>
    <author>Westar Energy</author>
  </authors>
  <commentList>
    <comment ref="L23" authorId="0">
      <text>
        <r>
          <rPr>
            <sz val="10"/>
            <rFont val="Arial"/>
            <family val="2"/>
          </rPr>
          <t>RFO:   This is the load that should be used as the DIVISOR in the Westar Energy tab.</t>
        </r>
      </text>
    </comment>
  </commentList>
</comments>
</file>

<file path=xl/sharedStrings.xml><?xml version="1.0" encoding="utf-8"?>
<sst xmlns="http://schemas.openxmlformats.org/spreadsheetml/2006/main" count="2075" uniqueCount="833">
  <si>
    <t xml:space="preserve">     Less EPRI &amp; Reg. Comm. Exp. &amp; Non-safety Ad. (Note F)</t>
  </si>
  <si>
    <t>Less transmission plant included in OATT Ancillary Services  (Note J)  (Note K)</t>
  </si>
  <si>
    <t>[ line 7 + line 9 + line 15 ]</t>
  </si>
  <si>
    <t>Wksht. E, p. 1, Subtotal, 100% Retail Related; Wksht. G, p. 1, Subtotal, 100% Retail Related</t>
  </si>
  <si>
    <t>Sch. WEN, p. 3, ln. 30; Sch. WES, p. 3, ln. 30</t>
  </si>
  <si>
    <t>Sch. WEN, p. 2, ln. 22, col. 3; Sch. WES, p. 2, ln. 22, col. 3</t>
  </si>
  <si>
    <t>Total (Included in Sch. WEN, p. 2, ln. 1, col. 3)</t>
  </si>
  <si>
    <t>Description</t>
  </si>
  <si>
    <t>and Justification</t>
  </si>
  <si>
    <t>Total (Included in Sch. WES, p. 2, ln. 1, col. 3)</t>
  </si>
  <si>
    <t>Account 454 (Rent from Electric Property)</t>
  </si>
  <si>
    <t>Worksheet B-WE Divisor</t>
  </si>
  <si>
    <r>
      <t xml:space="preserve">II.   </t>
    </r>
    <r>
      <rPr>
        <b/>
        <sz val="14"/>
        <rFont val="Arial"/>
        <family val="2"/>
      </rPr>
      <t>WEN</t>
    </r>
  </si>
  <si>
    <r>
      <t xml:space="preserve">I.   </t>
    </r>
    <r>
      <rPr>
        <b/>
        <sz val="14"/>
        <rFont val="Arial"/>
        <family val="2"/>
      </rPr>
      <t>Westar Energy</t>
    </r>
  </si>
  <si>
    <r>
      <t xml:space="preserve">III.   </t>
    </r>
    <r>
      <rPr>
        <b/>
        <sz val="14"/>
        <rFont val="Arial"/>
        <family val="2"/>
      </rPr>
      <t>WES</t>
    </r>
  </si>
  <si>
    <t>Worksheet C-WE Retail Adder</t>
  </si>
  <si>
    <t>Worksheet E-WEN ADIT</t>
  </si>
  <si>
    <t>Worksheet G-WES ADIT</t>
  </si>
  <si>
    <r>
      <t xml:space="preserve">(Wksht. A, p. 1, Sec. </t>
    </r>
    <r>
      <rPr>
        <sz val="12.5"/>
        <rFont val="MS Serif"/>
        <family val="1"/>
      </rPr>
      <t>II</t>
    </r>
    <r>
      <rPr>
        <sz val="12.5"/>
        <rFont val="Arial"/>
        <family val="2"/>
      </rPr>
      <t>,</t>
    </r>
    <r>
      <rPr>
        <sz val="12"/>
        <rFont val="Arial"/>
        <family val="2"/>
      </rPr>
      <t xml:space="preserve"> ln. 5, WEN + WES)</t>
    </r>
  </si>
  <si>
    <r>
      <t xml:space="preserve">(Wksht. B, p. 1, Sec. </t>
    </r>
    <r>
      <rPr>
        <sz val="12.5"/>
        <rFont val="MS Serif"/>
        <family val="1"/>
      </rPr>
      <t>I</t>
    </r>
    <r>
      <rPr>
        <sz val="12"/>
        <rFont val="Arial"/>
        <family val="2"/>
      </rPr>
      <t xml:space="preserve">, 12-CP, </t>
    </r>
  </si>
  <si>
    <t xml:space="preserve">  multiplied by (1/1-T) (page 2, line 23).</t>
  </si>
  <si>
    <t>Notes to the Determination of WEN's and WES' Contribution to Transmission Network Load (MW, unless otherwise noted)</t>
  </si>
  <si>
    <t>O</t>
  </si>
  <si>
    <t>C</t>
  </si>
  <si>
    <t>E</t>
  </si>
  <si>
    <t>F</t>
  </si>
  <si>
    <t>D</t>
  </si>
  <si>
    <t xml:space="preserve">P-to-P Rate ($/kW/Mo) </t>
  </si>
  <si>
    <t>Percentage of transmission expenses included in rates (line 9 times line 10)</t>
  </si>
  <si>
    <t>Account 456</t>
  </si>
  <si>
    <t>Account 454</t>
  </si>
  <si>
    <t>II.</t>
  </si>
  <si>
    <t>III.</t>
  </si>
  <si>
    <t>IV.</t>
  </si>
  <si>
    <t>Notes</t>
  </si>
  <si>
    <t>Worksheet A-WE Rev Credit</t>
  </si>
  <si>
    <t>Revenue from Grandfathered Interzonal Transactions and service provided by the RTO at a discount in Account 454</t>
  </si>
  <si>
    <t>Account 454 (Rent from Electric Property) includes income related only to transmission facilities, such as pole attachments, rentals and special use.</t>
  </si>
  <si>
    <t>Determination of Transmission Network Load (MW)</t>
  </si>
  <si>
    <t>Determination of WEN's and WES' Contribution to Transmission Network Load (MW)</t>
  </si>
  <si>
    <t>These are the dates, times and loads at the time of WEN's and WES' transmission peak, as reported in FERC Form 1, page 400.</t>
  </si>
  <si>
    <t>"GFA PTP Contract Demand" is the contract demand in MW for these customers.  These amounts are assigned equally between WEN and WES in Sections II and III above.  Details are as follows:</t>
  </si>
  <si>
    <t>"Non-Firm Sales to Cities" are kW loads at the time of Westar's monthly transmission system peak load associated with sales to GM Partial Requirements customers.  Details are as follows:</t>
  </si>
  <si>
    <t>"Non-Control Area Transmission Load" in kW is load on Westar's transmission system that is electronically transferred to control areas other than Westar.  Details are as follows:</t>
  </si>
  <si>
    <t>[Schedule WEN, p. 2, ln. 30, col. 5 + Schedule WES, p. 2, ln. 30, col. 5]</t>
  </si>
  <si>
    <t>(Wksht. C, p. 1, ln. 16, Total)</t>
  </si>
  <si>
    <t>Contract</t>
  </si>
  <si>
    <t>Demand</t>
  </si>
  <si>
    <t>GM Part. Req.</t>
  </si>
  <si>
    <t>ADIT - Retail</t>
  </si>
  <si>
    <t>Alloc. Fact. - Gross Plant</t>
  </si>
  <si>
    <r>
      <t>[Sch. WEN + Sch. WES]</t>
    </r>
    <r>
      <rPr>
        <vertAlign val="superscript"/>
        <sz val="12"/>
        <rFont val="Arial"/>
        <family val="2"/>
      </rPr>
      <t>3</t>
    </r>
  </si>
  <si>
    <r>
      <t>[Sch. WEN + Sch. WES]</t>
    </r>
    <r>
      <rPr>
        <vertAlign val="superscript"/>
        <sz val="12"/>
        <rFont val="Arial"/>
        <family val="2"/>
      </rPr>
      <t>4</t>
    </r>
  </si>
  <si>
    <t>[ line 3  x  line 4 ]</t>
  </si>
  <si>
    <t>[ line 5  x  line 6 ]</t>
  </si>
  <si>
    <t>[ line 7  x  line 8 ]</t>
  </si>
  <si>
    <t>[ sum of lines 11 through 14 ]</t>
  </si>
  <si>
    <t>NOTES:</t>
  </si>
  <si>
    <r>
      <t>[WEN ADIT &amp; WES ADIT]</t>
    </r>
    <r>
      <rPr>
        <vertAlign val="superscript"/>
        <sz val="12"/>
        <rFont val="Arial"/>
        <family val="2"/>
      </rPr>
      <t>1</t>
    </r>
  </si>
  <si>
    <r>
      <t>[Sch. WEN &amp; Sch. WES]</t>
    </r>
    <r>
      <rPr>
        <vertAlign val="superscript"/>
        <sz val="12"/>
        <rFont val="Arial"/>
        <family val="2"/>
      </rPr>
      <t>2</t>
    </r>
  </si>
  <si>
    <t>Transmission By Others, Account 565 includes only costs associated with transmission facilities which are assigned to the Westar pricing zone by SPP.</t>
  </si>
  <si>
    <t>Network transmission for firm wholesale and retail service sinking on Westar's transmission</t>
  </si>
  <si>
    <t>Transmission plant included in rates (line a less (lines b &amp; c))</t>
  </si>
  <si>
    <t>system, plus long-term P-T-P Contract Demands that are not under the SPP OATT</t>
  </si>
  <si>
    <r>
      <t xml:space="preserve">(Current year unit charge imposed on Westar by FERC and applies </t>
    </r>
    <r>
      <rPr>
        <u val="single"/>
        <sz val="12"/>
        <rFont val="Arial"/>
        <family val="2"/>
      </rPr>
      <t>only</t>
    </r>
    <r>
      <rPr>
        <sz val="12"/>
        <rFont val="Arial"/>
        <family val="2"/>
      </rPr>
      <t xml:space="preserve"> to service under Westar's OATT )</t>
    </r>
  </si>
  <si>
    <t>(all load data in these notes comes from Westar's "NETWORK BILLING DETERMINANTS" spreadsheet or successor spreadsheet)</t>
  </si>
  <si>
    <t xml:space="preserve">These are the WEN and WES values that, when added together, equal the transmission system peak load in Westar's Energy Accounting System, Monthly Min/Max Load Values report.  </t>
  </si>
  <si>
    <t>Allocation of ADIT</t>
  </si>
  <si>
    <t>Summary</t>
  </si>
  <si>
    <t>Kansas Gas and Electric Company</t>
  </si>
  <si>
    <r>
      <t xml:space="preserve">Revenue credits do </t>
    </r>
    <r>
      <rPr>
        <u val="single"/>
        <sz val="12"/>
        <rFont val="Arial MT"/>
        <family val="0"/>
      </rPr>
      <t>not</t>
    </r>
    <r>
      <rPr>
        <sz val="12"/>
        <rFont val="Arial MT"/>
        <family val="0"/>
      </rPr>
      <t xml:space="preserve"> include revenues associated with FERC annual charges, gross receipts taxes, ancillary services and/or facilities not included in this template, e.g., directly assigned facilities, GSUs, etc.</t>
    </r>
  </si>
  <si>
    <t>Rate Formula Template</t>
  </si>
  <si>
    <t>Determination of Revenue Credits</t>
  </si>
  <si>
    <t>GP =</t>
  </si>
  <si>
    <t>NP =</t>
  </si>
  <si>
    <t xml:space="preserve">  Prepayments (Account 165)</t>
  </si>
  <si>
    <t>SUPPORTING CALCULATIONS</t>
  </si>
  <si>
    <t>General Note:  References to pages in this formulary rate are indicated as:  (page#, line#, col.#).</t>
  </si>
  <si>
    <t>Unless otherwise specified, OATT refers to the Westar and SPP OATTs.</t>
  </si>
  <si>
    <t>Determination of O&amp;M Exclusions from the Formula Rate</t>
  </si>
  <si>
    <r>
      <t>Less:          Non-Firm Sales to Cities</t>
    </r>
    <r>
      <rPr>
        <b/>
        <vertAlign val="superscript"/>
        <sz val="10"/>
        <rFont val="Arial"/>
        <family val="2"/>
      </rPr>
      <t>6</t>
    </r>
  </si>
  <si>
    <r>
      <t>Plus:           Non-Westar Generation</t>
    </r>
    <r>
      <rPr>
        <b/>
        <vertAlign val="superscript"/>
        <sz val="10"/>
        <rFont val="Arial"/>
        <family val="2"/>
      </rPr>
      <t>7</t>
    </r>
  </si>
  <si>
    <r>
      <t>Plus:           Non-Control-Area Transmission Load</t>
    </r>
    <r>
      <rPr>
        <b/>
        <vertAlign val="superscript"/>
        <sz val="10"/>
        <rFont val="Arial"/>
        <family val="2"/>
      </rPr>
      <t>8</t>
    </r>
  </si>
  <si>
    <t>Plus:           Non-Control-Area Transmission Load</t>
  </si>
  <si>
    <t>ADJUSTMENTS TO RATE BASE</t>
  </si>
  <si>
    <t>Page 1 of 4</t>
  </si>
  <si>
    <t>Page 2 of 4</t>
  </si>
  <si>
    <t>Page 3 of 4</t>
  </si>
  <si>
    <t>Page 4 of 4</t>
  </si>
  <si>
    <t>Rate Base</t>
  </si>
  <si>
    <t>Return</t>
  </si>
  <si>
    <t>Income Taxes</t>
  </si>
  <si>
    <t>Items Deemed to be Allocated Exclusively to the Retail Jurisdiction</t>
  </si>
  <si>
    <t>Transmission Related</t>
  </si>
  <si>
    <t>Rate of Return</t>
  </si>
  <si>
    <t>Income Tax Factor</t>
  </si>
  <si>
    <t>Other Expenses</t>
  </si>
  <si>
    <t>Item 1</t>
  </si>
  <si>
    <t>Item 2</t>
  </si>
  <si>
    <t>Item 3</t>
  </si>
  <si>
    <t>Item 4</t>
  </si>
  <si>
    <t>Revenue Requirement</t>
  </si>
  <si>
    <t>Additional Revenue Requirement Allocated to the Retail Jurisdiction</t>
  </si>
  <si>
    <t>Removes dollar amount of transmission expenses included in the OATT ancillary services rates, including all of Account No. 561. See below.</t>
  </si>
  <si>
    <t xml:space="preserve">     Rate Formula Template</t>
  </si>
  <si>
    <t xml:space="preserve"> </t>
  </si>
  <si>
    <t>Line</t>
  </si>
  <si>
    <r>
      <t>NOTE 1</t>
    </r>
    <r>
      <rPr>
        <sz val="12"/>
        <rFont val="Arial MT"/>
        <family val="0"/>
      </rPr>
      <t xml:space="preserve">: </t>
    </r>
  </si>
  <si>
    <r>
      <t>NOTE 2</t>
    </r>
    <r>
      <rPr>
        <sz val="12"/>
        <rFont val="Arial MT"/>
        <family val="0"/>
      </rPr>
      <t xml:space="preserve">: </t>
    </r>
  </si>
  <si>
    <t>Allocated</t>
  </si>
  <si>
    <t>No.</t>
  </si>
  <si>
    <t>Amount</t>
  </si>
  <si>
    <t xml:space="preserve">REVENUE CREDITS </t>
  </si>
  <si>
    <t>Total</t>
  </si>
  <si>
    <t>Allocator</t>
  </si>
  <si>
    <t>TP</t>
  </si>
  <si>
    <t xml:space="preserve">  Account No. 454</t>
  </si>
  <si>
    <t>NET REVENUE REQUIREMENT</t>
  </si>
  <si>
    <t xml:space="preserve">DIVISOR </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</si>
  <si>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</si>
  <si>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</si>
  <si>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</si>
  <si>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</si>
  <si>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</si>
  <si>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</si>
  <si>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</si>
  <si>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</si>
  <si>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</si>
  <si>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</si>
  <si>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FERC Annual Charge($/MWh)</t>
  </si>
  <si>
    <t>.</t>
  </si>
  <si>
    <t>(1)</t>
  </si>
  <si>
    <t>(2)</t>
  </si>
  <si>
    <t>(3)</t>
  </si>
  <si>
    <t>(4)</t>
  </si>
  <si>
    <t>(5)</t>
  </si>
  <si>
    <t>Form No. 1</t>
  </si>
  <si>
    <t>Transmission</t>
  </si>
  <si>
    <t>Page, Line, Col.</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</si>
  <si>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</si>
  <si>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</si>
  <si>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</si>
  <si>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</si>
  <si>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</si>
  <si>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</si>
  <si>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</si>
  <si>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</si>
  <si>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</si>
  <si>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</si>
  <si>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</si>
  <si>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</si>
  <si>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356.1</t>
  </si>
  <si>
    <t>TOTAL GROSS PLANT (sum lines 1-5)</t>
  </si>
  <si>
    <t>GP=</t>
  </si>
  <si>
    <t>ACCUMULATED DEPRECIATION</t>
  </si>
  <si>
    <t>TOTAL ACCUM. DEPRECIATION (sum lines 7-11)</t>
  </si>
  <si>
    <t>NET PLANT IN SERVICE</t>
  </si>
  <si>
    <t>TOTAL NET PLANT (sum lines 13-17)</t>
  </si>
  <si>
    <t>NP=</t>
  </si>
  <si>
    <t>NP</t>
  </si>
  <si>
    <t xml:space="preserve">LAND HELD FOR FUTURE USE </t>
  </si>
  <si>
    <t>TE</t>
  </si>
  <si>
    <t>GP</t>
  </si>
  <si>
    <t>O&amp;M</t>
  </si>
  <si>
    <t>321.100.b</t>
  </si>
  <si>
    <t>321.88.b</t>
  </si>
  <si>
    <t>323.168.b</t>
  </si>
  <si>
    <t xml:space="preserve">     Less FERC Annual Fees</t>
  </si>
  <si>
    <t xml:space="preserve">  Transmission Lease Payments</t>
  </si>
  <si>
    <t>DEPRECIATION EXPENSE</t>
  </si>
  <si>
    <t>336.7.b</t>
  </si>
  <si>
    <t xml:space="preserve">  General </t>
  </si>
  <si>
    <t xml:space="preserve">336.9.b </t>
  </si>
  <si>
    <t>336.10.b</t>
  </si>
  <si>
    <t>TOTAL DEPRECIATION (Sum lines 9 - 11)</t>
  </si>
  <si>
    <t xml:space="preserve">  LABOR RELATED</t>
  </si>
  <si>
    <t xml:space="preserve">          Payroll</t>
  </si>
  <si>
    <t xml:space="preserve">          Highway and vehicle</t>
  </si>
  <si>
    <t xml:space="preserve">  PLANT RELATED</t>
  </si>
  <si>
    <t xml:space="preserve">         Gross Receipts</t>
  </si>
  <si>
    <t xml:space="preserve">         Payments in lieu of taxes</t>
  </si>
  <si>
    <t>TOTAL OTHER TAXES  (sum lines 13 - 19)</t>
  </si>
  <si>
    <t xml:space="preserve">  </t>
  </si>
  <si>
    <t xml:space="preserve">INCOME TAXES          </t>
  </si>
  <si>
    <t xml:space="preserve">RETURN </t>
  </si>
  <si>
    <t xml:space="preserve">TRANSMISSION EXPENSES </t>
  </si>
  <si>
    <t>Included transmission expenses (line 1 less line 2)</t>
  </si>
  <si>
    <t>TE=</t>
  </si>
  <si>
    <t>TP=</t>
  </si>
  <si>
    <t>WAGES &amp; SALARY ALLOCATOR   (W&amp;S)</t>
  </si>
  <si>
    <t>Form 1 Reference</t>
  </si>
  <si>
    <t>$</t>
  </si>
  <si>
    <t>Allocation</t>
  </si>
  <si>
    <t>354.18.b</t>
  </si>
  <si>
    <t>354.19.b</t>
  </si>
  <si>
    <t>354.20.b</t>
  </si>
  <si>
    <t>W&amp;S Allocator</t>
  </si>
  <si>
    <t xml:space="preserve">  Other</t>
  </si>
  <si>
    <t>354.21,22,23.b</t>
  </si>
  <si>
    <t>($ / Allocation)</t>
  </si>
  <si>
    <t>=</t>
  </si>
  <si>
    <t>% Electric</t>
  </si>
  <si>
    <t xml:space="preserve">  Electric</t>
  </si>
  <si>
    <t>200.3.c</t>
  </si>
  <si>
    <t>(line 17 / line 20)</t>
  </si>
  <si>
    <t>(line 16)</t>
  </si>
  <si>
    <t>CE</t>
  </si>
  <si>
    <t xml:space="preserve">  Gas</t>
  </si>
  <si>
    <t>200.3.d</t>
  </si>
  <si>
    <t>*</t>
  </si>
  <si>
    <t xml:space="preserve">  Water</t>
  </si>
  <si>
    <t>200.3.e</t>
  </si>
  <si>
    <t>RETURN (R)</t>
  </si>
  <si>
    <t>Preferred Dividends (118.29c) (positive number)</t>
  </si>
  <si>
    <t xml:space="preserve">a)  Total transmission plant  </t>
  </si>
  <si>
    <t>b)  Less transmission plant excluded from ISO rates  (Sch. WEN &amp; WES, p. 3, ln. 2)</t>
  </si>
  <si>
    <t>c)  Less transmission plant included in OATT Ancillary Services (Sch. WEN &amp; WES, p. 3, ln. 3)</t>
  </si>
  <si>
    <t>(line 7 divided by line 17)  (Note 2)</t>
  </si>
  <si>
    <t>(line 18 divided by 12)  (Note 2)</t>
  </si>
  <si>
    <t xml:space="preserve">                                          Development of Common Stock:</t>
  </si>
  <si>
    <t>Common Stock</t>
  </si>
  <si>
    <t>(sum lines 23-25)</t>
  </si>
  <si>
    <t>Cost</t>
  </si>
  <si>
    <t>%</t>
  </si>
  <si>
    <t>Weighted</t>
  </si>
  <si>
    <t>=WCLTD</t>
  </si>
  <si>
    <t xml:space="preserve">  Common Stock  (line 26)</t>
  </si>
  <si>
    <t>=R</t>
  </si>
  <si>
    <t>REVENUE CREDITS</t>
  </si>
  <si>
    <t>Note</t>
  </si>
  <si>
    <t>Letter</t>
  </si>
  <si>
    <t>G</t>
  </si>
  <si>
    <t>Identified in Form 1 as being only transmission related.</t>
  </si>
  <si>
    <t>H</t>
  </si>
  <si>
    <t>I</t>
  </si>
  <si>
    <t>J</t>
  </si>
  <si>
    <t>Includes only FICA, unemployment, highway, property, gross receipts, and other assessments charged in the current year.</t>
  </si>
  <si>
    <t>K</t>
  </si>
  <si>
    <t>L</t>
  </si>
  <si>
    <t>M</t>
  </si>
  <si>
    <t>N</t>
  </si>
  <si>
    <t>Debt cost rate = long-term interest (line 21) / long term debt (line 27).  Preferred cost rate = preferred dividends (line 22) /</t>
  </si>
  <si>
    <t>TOTAL REVENUE CREDITS  (sum lines 2-5)</t>
  </si>
  <si>
    <t>The currently effective income tax rate,  where FIT is the Federal income tax rate; SIT is the State income tax rate, and p =</t>
  </si>
  <si>
    <t xml:space="preserve">  Revenues from Grandfathered Interzonal Transactions</t>
  </si>
  <si>
    <t xml:space="preserve">  Revenues from service provided by the ISO at a discount</t>
  </si>
  <si>
    <t>Total Income Taxes</t>
  </si>
  <si>
    <t xml:space="preserve">  Total  (sum lines 17 - 19)</t>
  </si>
  <si>
    <t>(line 1 minus line 6)</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</si>
  <si>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</si>
  <si>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</si>
  <si>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</si>
  <si>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</si>
  <si>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</si>
  <si>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</si>
  <si>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</si>
  <si>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</si>
  <si>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</si>
  <si>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</si>
  <si>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</si>
  <si>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</si>
  <si>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</si>
  <si>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Income Tax Calculation = line 22 * line 28</t>
  </si>
  <si>
    <t xml:space="preserve">         Inputs Required:</t>
  </si>
  <si>
    <t>ITC adjustment (line 23 * line 24)</t>
  </si>
  <si>
    <t>(line 25 plus line 26)</t>
  </si>
  <si>
    <t>WS</t>
  </si>
  <si>
    <t xml:space="preserve">  CWC  </t>
  </si>
  <si>
    <t xml:space="preserve">  of any Base Plan Upgrade pursuant to Attachments J and Z of the Southwest Power Pool OATT, or its successor.</t>
  </si>
  <si>
    <t>The Facility Carrying Charge and Monthly Facility Carrying Charge on Page 1, lines 18 and 19 are to be used to compute the revenue requirement</t>
  </si>
  <si>
    <t>Total  (sum lines 27-29)</t>
  </si>
  <si>
    <t>Enter dollar amounts</t>
  </si>
  <si>
    <t xml:space="preserve">  Total  (sum lines 12-15)</t>
  </si>
  <si>
    <t>Removes dollar amount of transmission plant included in the development of OATT ancillary services rates and generation</t>
  </si>
  <si>
    <t xml:space="preserve">Less Preferred Stock (line 28) </t>
  </si>
  <si>
    <t>5a</t>
  </si>
  <si>
    <t>TOTAL O&amp;M   (sum lines 1, 3, 5a, 6, 7 less lines 2, 4, 5)</t>
  </si>
  <si>
    <t>(WEN)</t>
  </si>
  <si>
    <t>WESTAR ENERGY, INC.</t>
  </si>
  <si>
    <t>(WES)</t>
  </si>
  <si>
    <t>Company</t>
  </si>
  <si>
    <t>WESTAR</t>
  </si>
  <si>
    <t>TOTAL</t>
  </si>
  <si>
    <t>CMCPH</t>
  </si>
  <si>
    <t>KCPL</t>
  </si>
  <si>
    <t>MIDW</t>
  </si>
  <si>
    <t>MOPEP</t>
  </si>
  <si>
    <t>OMPA</t>
  </si>
  <si>
    <t>SWPP</t>
  </si>
  <si>
    <t>SWPP Studies</t>
  </si>
  <si>
    <t>WR Altamont</t>
  </si>
  <si>
    <t>KVE</t>
  </si>
  <si>
    <t>NMEC</t>
  </si>
  <si>
    <t>KEPCO</t>
  </si>
  <si>
    <t>CCHAN</t>
  </si>
  <si>
    <t xml:space="preserve">   and SWPP NITS Bought by Others (Cities of Augusta and Seneca {KEPCo}, Cities of Burlington, Neodesha, Wellington and Winfield {KPP}) agreements shown below are not included as a revenue credit because the monthly loads are included in the DIVISOR.</t>
  </si>
  <si>
    <t>CMULV</t>
  </si>
  <si>
    <t>CNEOD</t>
  </si>
  <si>
    <t>CWINF</t>
  </si>
  <si>
    <t>456.0000</t>
  </si>
  <si>
    <t>Transmission Service</t>
  </si>
  <si>
    <t>456.5000</t>
  </si>
  <si>
    <t>Anc 1</t>
  </si>
  <si>
    <t>456.5100</t>
  </si>
  <si>
    <t>Anc 2 - 80%</t>
  </si>
  <si>
    <t>456.8100</t>
  </si>
  <si>
    <t>Anc 2 - 20%</t>
  </si>
  <si>
    <t>456.8200</t>
  </si>
  <si>
    <t>Anc 3</t>
  </si>
  <si>
    <t>456.8400</t>
  </si>
  <si>
    <t>Anc 5</t>
  </si>
  <si>
    <t>456.8500</t>
  </si>
  <si>
    <t>Anc 6</t>
  </si>
  <si>
    <t>456.5200</t>
  </si>
  <si>
    <t>Facilities</t>
  </si>
  <si>
    <t>456.5003</t>
  </si>
  <si>
    <t>Trans Studies</t>
  </si>
  <si>
    <t>456.8600</t>
  </si>
  <si>
    <t>SPP Losses/MIDW Cntrl</t>
  </si>
  <si>
    <t>Less: Accounts 456.5 through 456.86</t>
  </si>
  <si>
    <t xml:space="preserve">         Revenue for Demands in Divisor</t>
  </si>
  <si>
    <t>WEN (KPL)</t>
  </si>
  <si>
    <t>WES (KGE)</t>
  </si>
  <si>
    <t>Balance at End of Year</t>
  </si>
  <si>
    <t>Ratio</t>
  </si>
  <si>
    <t>Page.    Line No.  Col.</t>
  </si>
  <si>
    <t>Net Transmission</t>
  </si>
  <si>
    <t>Facility Carrying Charge</t>
  </si>
  <si>
    <t xml:space="preserve">  Excluded:</t>
  </si>
  <si>
    <t>Distribution</t>
  </si>
  <si>
    <t>Exclude:</t>
  </si>
  <si>
    <t>TRANSMISSION PLANT INCLUDED IN FORMULA</t>
  </si>
  <si>
    <t xml:space="preserve">   Rate Formula Template, since they are recovered elsewhere.</t>
  </si>
  <si>
    <t xml:space="preserve">  Taxes related to income are excluded.  Gross receipts taxes are not included in transmission revenue requirement in the</t>
  </si>
  <si>
    <t>Removes transmission plant determined by Commission order to be state-jurisdictional according to the seven-factor test</t>
  </si>
  <si>
    <t>KANSAS GAS AND ELECTRIC COMPANY</t>
  </si>
  <si>
    <t xml:space="preserve">                SUPPORTING CALCULATIONS</t>
  </si>
  <si>
    <t>NOTES</t>
  </si>
  <si>
    <t>Per Attachments</t>
  </si>
  <si>
    <t>Page 1 of 1</t>
  </si>
  <si>
    <t>Distribution rental developed as follows:</t>
  </si>
  <si>
    <t xml:space="preserve">  Distribution pole attachment ratio</t>
  </si>
  <si>
    <t xml:space="preserve">  Distribution rental</t>
  </si>
  <si>
    <t xml:space="preserve">  Distribution rental (see below)</t>
  </si>
  <si>
    <t>Page 1 of 5</t>
  </si>
  <si>
    <t>Page 2 of 5</t>
  </si>
  <si>
    <t>Page 3 of 5</t>
  </si>
  <si>
    <t>Page 4 of 5</t>
  </si>
  <si>
    <t>Page 5 of 5</t>
  </si>
  <si>
    <t>WEN</t>
  </si>
  <si>
    <t>WES</t>
  </si>
  <si>
    <t>May</t>
  </si>
  <si>
    <t xml:space="preserve">  Land rental for Gordon Evans CTs</t>
  </si>
  <si>
    <t xml:space="preserve">  Other Electric Property Rents</t>
  </si>
  <si>
    <t xml:space="preserve">Transmission </t>
  </si>
  <si>
    <t xml:space="preserve">         Other</t>
  </si>
  <si>
    <t>(Sch. WEN &amp; WES, p. 1, ln. 14, col. 5)</t>
  </si>
  <si>
    <t>For Account 216.1, enter zero if the actual balance is negative</t>
  </si>
  <si>
    <t>Monthly Facility Carrying Charge</t>
  </si>
  <si>
    <t>Schedule WES</t>
  </si>
  <si>
    <t>207.46.g</t>
  </si>
  <si>
    <t>207.58.g</t>
  </si>
  <si>
    <t>207.75.g</t>
  </si>
  <si>
    <t>207.90.g &amp; 205.5.g</t>
  </si>
  <si>
    <t>219.20-24.c</t>
  </si>
  <si>
    <t>219.25.c</t>
  </si>
  <si>
    <t>219.26.c</t>
  </si>
  <si>
    <t xml:space="preserve">219.27.c </t>
  </si>
  <si>
    <t>263.i</t>
  </si>
  <si>
    <t>Long Term Interest (117, sum of 62c through 66c)</t>
  </si>
  <si>
    <t>Proprietary Capital (112.16c)</t>
  </si>
  <si>
    <t xml:space="preserve">  Long Term Debt (112, sum of 18.c through 21.c)</t>
  </si>
  <si>
    <t xml:space="preserve">  Preferred Stock  (112.3.c)</t>
  </si>
  <si>
    <t>Schedule WEN</t>
  </si>
  <si>
    <r>
      <t>207.90.g &amp;</t>
    </r>
    <r>
      <rPr>
        <b/>
        <sz val="12"/>
        <rFont val="Arial"/>
        <family val="2"/>
      </rPr>
      <t xml:space="preserve"> </t>
    </r>
    <r>
      <rPr>
        <sz val="12"/>
        <rFont val="Arial"/>
        <family val="2"/>
      </rPr>
      <t xml:space="preserve">205.5.g </t>
    </r>
  </si>
  <si>
    <t>219.25c</t>
  </si>
  <si>
    <t>219.26c</t>
  </si>
  <si>
    <t>219.27.c</t>
  </si>
  <si>
    <t xml:space="preserve">  step-up facilities, which are deemed to be included in OATT ancillary services.  For these purposes, generation step-up facilities are those </t>
  </si>
  <si>
    <t xml:space="preserve">  facilities at a generator substation on which there is no through-flow when the generator is shut down.</t>
  </si>
  <si>
    <t>Proprietary Capital (112.16.c)</t>
  </si>
  <si>
    <t xml:space="preserve">  Long Term Debt (112, sum of 18.c. through 21.c)</t>
  </si>
  <si>
    <t>CGIRA</t>
  </si>
  <si>
    <t>Account 456 revenue treated as a credit to cost of service in this formula is from subaccount 456.0000, Transmission Service.  Revenue from Grandfathered point-to-point (GFA - all Companies in Section I except SWPP),</t>
  </si>
  <si>
    <r>
      <t xml:space="preserve">   </t>
    </r>
    <r>
      <rPr>
        <sz val="12"/>
        <rFont val="Arial"/>
        <family val="2"/>
      </rPr>
      <t>SWPP Allocated NITS (Cities of Alma, Altamont, Chapman, Enterprise, Marion, Morrill, Muscotah, Scranton, Troy, Waterville and Wathena), SWPP Individual NITS (Cities of Erie, Fredonia and Iola)</t>
    </r>
  </si>
  <si>
    <t>GROSS REVENUE REQUIREMENT</t>
  </si>
  <si>
    <t>(WESTAR)</t>
  </si>
  <si>
    <t>Schedule WESTAR</t>
  </si>
  <si>
    <t>Divisor</t>
  </si>
  <si>
    <t>(line 7 / line 10)</t>
  </si>
  <si>
    <t>(line 11 / 12)</t>
  </si>
  <si>
    <t>(line 11 / 52; line 11 / 52)</t>
  </si>
  <si>
    <t>(line 13 / 5; line 13 / 7)</t>
  </si>
  <si>
    <t>(line 14 / 16; line 14 / 24</t>
  </si>
  <si>
    <t>(A)</t>
  </si>
  <si>
    <t>(B)</t>
  </si>
  <si>
    <t>(C)</t>
  </si>
  <si>
    <t>(D)</t>
  </si>
  <si>
    <t>(E)</t>
  </si>
  <si>
    <t>(F)</t>
  </si>
  <si>
    <t>(G)</t>
  </si>
  <si>
    <t>Accumulated Defered Income Taxes</t>
  </si>
  <si>
    <t>NonTrans.</t>
  </si>
  <si>
    <t xml:space="preserve">Plant </t>
  </si>
  <si>
    <t>Labor</t>
  </si>
  <si>
    <t>Related</t>
  </si>
  <si>
    <t>ADIT</t>
  </si>
  <si>
    <t>ADIT-282</t>
  </si>
  <si>
    <t>ADIT-283</t>
  </si>
  <si>
    <t>ADIT-190</t>
  </si>
  <si>
    <t>Subtotal</t>
  </si>
  <si>
    <t>Gross Plant Allocator</t>
  </si>
  <si>
    <t>In</t>
  </si>
  <si>
    <t>Adjustment</t>
  </si>
  <si>
    <t>YE Balance</t>
  </si>
  <si>
    <t>to Ratebase</t>
  </si>
  <si>
    <t>Current Deferred Tax Asset Reclass</t>
  </si>
  <si>
    <t>Cur vs L/T Reclass (for financial reporting)</t>
  </si>
  <si>
    <t>Accumulated Deferred Income Tax Utility Oper Other</t>
  </si>
  <si>
    <t>Vulcan Contracts</t>
  </si>
  <si>
    <t>Yes</t>
  </si>
  <si>
    <t>Consideration payment related to 2003 unit participation agreement tax deductible when paid; amortized for books.</t>
  </si>
  <si>
    <t>KS Dept Revenue Excavation Refund</t>
  </si>
  <si>
    <t>Taxable refunds not recogized on books.</t>
  </si>
  <si>
    <t>Pensions</t>
  </si>
  <si>
    <t>SFAS 87 pension accrual per books vs. actual contributions for tax</t>
  </si>
  <si>
    <t>Deferred Compensation salaried WE</t>
  </si>
  <si>
    <t>Deferred compensation interest accrued on books, deductible for tax when paid</t>
  </si>
  <si>
    <t>Bad Debts</t>
  </si>
  <si>
    <t>Book accrual for bad debts vs. direct write off method for tax</t>
  </si>
  <si>
    <t>Property Insurance</t>
  </si>
  <si>
    <t>Book accrual for property insurance vs. actual costs for tax</t>
  </si>
  <si>
    <t>Injuries and Damages</t>
  </si>
  <si>
    <t>Book accrual for 3rd party injuries and damages vs. actual costs for tax</t>
  </si>
  <si>
    <t>Group Medical Insurance</t>
  </si>
  <si>
    <t>Book accrual for group medical claims vs. actual costs for tax</t>
  </si>
  <si>
    <t>Environmental</t>
  </si>
  <si>
    <t>Book accrual for environmental reserve vs. actual costs for tax</t>
  </si>
  <si>
    <t>Vacation Pay Accrual</t>
  </si>
  <si>
    <t>Accrued vacation pay per books vs. vacations paid within 2 1/2 months of year end for tax</t>
  </si>
  <si>
    <t>Legal Expenses</t>
  </si>
  <si>
    <t>Legal expenses accrued on books vs. actual payments for tax</t>
  </si>
  <si>
    <t>Tax Credit Carryover</t>
  </si>
  <si>
    <t>General business credits to be utilized in future years</t>
  </si>
  <si>
    <t>Deferred Compensation Plan</t>
  </si>
  <si>
    <t>Book accrual for deferred compensation vs. actual payments for tax</t>
  </si>
  <si>
    <t>Inventory Valuation</t>
  </si>
  <si>
    <t>Book accrual for inventory reserve vs. actual losses for tax</t>
  </si>
  <si>
    <t>Fly Ash Contract - Liability for Deferred Tax</t>
  </si>
  <si>
    <t>Revenue from Fly Ash Contract deferred on books and amortized over 10 years; recognized for tax upon receipt.</t>
  </si>
  <si>
    <t>Westar Generation Power Purchase</t>
  </si>
  <si>
    <t xml:space="preserve">Regulatory liability recorded for power purchased from Westar Generating; not recognized for tax.  </t>
  </si>
  <si>
    <t>Alternative Minimum Tax</t>
  </si>
  <si>
    <t>Alternative minimum tax credits to be used in future years</t>
  </si>
  <si>
    <t>PODS Regulatory/Liability1</t>
  </si>
  <si>
    <t>Regulatory liability recorded for IT assets transferred to Protection One; not recognized for tax</t>
  </si>
  <si>
    <t>Rebates 2005/2006</t>
  </si>
  <si>
    <t xml:space="preserve">Book accrual for rebates to customers to be paid in 2005 and 2006; deductible for tax when paid.  </t>
  </si>
  <si>
    <t>Severance</t>
  </si>
  <si>
    <t>Book accrual for severance costs vs. actual payments for tax</t>
  </si>
  <si>
    <t>General Tax - Reserve</t>
  </si>
  <si>
    <t>Book reserve set up for potential non-income tax issues per SFAS 5; deductible for tax when paid</t>
  </si>
  <si>
    <t>Long Term Rail Car Lease</t>
  </si>
  <si>
    <t>Book accrual railcar lease expense vs. actual costs for tax.</t>
  </si>
  <si>
    <t>Short Term Incentive Program</t>
  </si>
  <si>
    <t>Book accrual for short term incentives vs. actual payments for tax</t>
  </si>
  <si>
    <t>Long Term Incentive Program</t>
  </si>
  <si>
    <t>Book accrual for long term incentives (RSU's) vs. actual payments for tax</t>
  </si>
  <si>
    <t>Oklahoma Municipal Power Agreement Sale (OMPA)</t>
  </si>
  <si>
    <t>Utilizing FERC Form 1 Data</t>
  </si>
  <si>
    <t xml:space="preserve"> Utilizing FERC Form 1 Data</t>
  </si>
  <si>
    <t>Reserved for future use.</t>
  </si>
  <si>
    <r>
      <t xml:space="preserve">  Revenues from Grandfathered Interzonal Transactions   (Wksht. A, p. 2, Sec. </t>
    </r>
    <r>
      <rPr>
        <sz val="12.5"/>
        <rFont val="MS Serif"/>
        <family val="1"/>
      </rPr>
      <t>III</t>
    </r>
    <r>
      <rPr>
        <sz val="12"/>
        <rFont val="Arial"/>
        <family val="2"/>
      </rPr>
      <t>)</t>
    </r>
  </si>
  <si>
    <r>
      <t xml:space="preserve">  Revenues from service provided by the ISO at a discount   (Wksht. A, p. 2, Sec. </t>
    </r>
    <r>
      <rPr>
        <sz val="12.5"/>
        <rFont val="MS Serif"/>
        <family val="1"/>
      </rPr>
      <t>III</t>
    </r>
    <r>
      <rPr>
        <sz val="12"/>
        <rFont val="Arial"/>
        <family val="2"/>
      </rPr>
      <t>)</t>
    </r>
  </si>
  <si>
    <t>(Sch. WEN &amp; WES, p. 3, ln. 1)</t>
  </si>
  <si>
    <t>Cash Working Capital assigned to transmission is one-eighth of O&amp;M allocated to transmission at p. 2, line 8, col. 5.</t>
  </si>
  <si>
    <t>Transmission O&amp;M expense does not include any SPP charges for Schedule 1-A of the SPP OATT.</t>
  </si>
  <si>
    <t xml:space="preserve">  expense incurred in the year absent an appropriate filing with FERC.</t>
  </si>
  <si>
    <t>The initial Post-Employment Benefits Other than Pensions (PBOP) expense set forth below will be used in lieu of the actual PBOP</t>
  </si>
  <si>
    <t>Cash Working Capital assigned to transmission is one-eighth of O&amp;M allocated to transmission at p. 2, ln. 8, col. 5.</t>
  </si>
  <si>
    <t>Revenue from OMPA deferred on books and amortized over term of contract; recognized for tax upon receipt.</t>
  </si>
  <si>
    <t>Emission Allowances</t>
  </si>
  <si>
    <t>Kansas income tax credits to be utilized in future years</t>
  </si>
  <si>
    <t>Federal net operating loss tax benefits to be utilized in future years</t>
  </si>
  <si>
    <t>Security-related costs currently deductible for tax, amortized over 3 years for book purposes.</t>
  </si>
  <si>
    <t>System Reliability costs currently deductible for tax, amortized over 5 years for book purposes.</t>
  </si>
  <si>
    <t>Emission allowances withheld by EPA and sold at auction by them.  Recorded as regulatory liability on books; recognized as capital gain for tax.</t>
  </si>
  <si>
    <t>FAS106 and FAS112</t>
  </si>
  <si>
    <t>-</t>
  </si>
  <si>
    <t>No</t>
  </si>
  <si>
    <t>Excluded</t>
  </si>
  <si>
    <t>WE Salary Continuation Plan</t>
  </si>
  <si>
    <t>Book accrual for Salary Continuation Plan vs. actual payments for tax</t>
  </si>
  <si>
    <t>Charitable Contributions - Carryforward</t>
  </si>
  <si>
    <t>Charitable contributions expensed on books - deductible for tax subject to limitation of 10% of taxable income</t>
  </si>
  <si>
    <t>Computer Software Purchased</t>
  </si>
  <si>
    <t>Canned software expensed on books vs. accelerated depreciation as computed for income tax purposes in accordance with the provisions of Code Sections 167 and 168.  Basis is depreciable plant in service.</t>
  </si>
  <si>
    <t>Accrued - Sales Tax Exposure</t>
  </si>
  <si>
    <t>Book accrual for potential sales tax exposure; deductible for tax when paid</t>
  </si>
  <si>
    <t>(Note Q)</t>
  </si>
  <si>
    <t xml:space="preserve">  A&amp;G  (Note R)</t>
  </si>
  <si>
    <t>Q</t>
  </si>
  <si>
    <t>The initial depreciation rates below will be used to calculate depreciation expense and accumulated depreciation balances absent an</t>
  </si>
  <si>
    <t xml:space="preserve">  appropriate filing with FERC. </t>
  </si>
  <si>
    <t>FERC Account Number</t>
  </si>
  <si>
    <t>Depreciation Rate</t>
  </si>
  <si>
    <t>350 Land and Land Rights</t>
  </si>
  <si>
    <t>351 (reserved)</t>
  </si>
  <si>
    <t>352  Structures and Improvements</t>
  </si>
  <si>
    <t>353  Station Equipment</t>
  </si>
  <si>
    <t>354  Towers and Fixtures</t>
  </si>
  <si>
    <t>355  Poles and Fixtures</t>
  </si>
  <si>
    <t>356  Overheard Conductors and Devices</t>
  </si>
  <si>
    <t>357  Underground Conduit</t>
  </si>
  <si>
    <t>358  Underground Conductors and Devices</t>
  </si>
  <si>
    <t>359  Roads and Trails</t>
  </si>
  <si>
    <t>R</t>
  </si>
  <si>
    <t xml:space="preserve">  Post-Employment Benefits Other than Pensions</t>
  </si>
  <si>
    <t>Accumulated Deferred Income Tax Non Utility</t>
  </si>
  <si>
    <t>Call Opt on Put/Call Bonds</t>
  </si>
  <si>
    <t>0</t>
  </si>
  <si>
    <t>Non-utility related</t>
  </si>
  <si>
    <t>Deferred Income Tax on PODS Regulatory/Liability</t>
  </si>
  <si>
    <t>Power Marketing Incentives</t>
  </si>
  <si>
    <t>Restricted Stock Expenses</t>
  </si>
  <si>
    <t>Power Marketing Mark to Market - Deferred Tax</t>
  </si>
  <si>
    <t>Deferred Compensation Interest salaried</t>
  </si>
  <si>
    <t>Short Term Incentive</t>
  </si>
  <si>
    <t>Subsidiary Acquisition Costs</t>
  </si>
  <si>
    <t>Coal Contract Mark to Market -  Liability</t>
  </si>
  <si>
    <t>Wholesale Sales MTM</t>
  </si>
  <si>
    <t>Legal Expense</t>
  </si>
  <si>
    <t>Restructuring Expense</t>
  </si>
  <si>
    <t>Impairment of Plane Lease</t>
  </si>
  <si>
    <t>WR Bermuda</t>
  </si>
  <si>
    <t>Severance Benefit</t>
  </si>
  <si>
    <t>Valuation Allowance - WR Bermuda</t>
  </si>
  <si>
    <t>WE Agreements</t>
  </si>
  <si>
    <t>Sale Of Centel</t>
  </si>
  <si>
    <t>Subtotal - p234</t>
  </si>
  <si>
    <t>Less FASB 109 Above if not separately removed</t>
  </si>
  <si>
    <t>Less FASB 106 Above if not separately removed</t>
  </si>
  <si>
    <t>ADIT- 281 &amp; 282</t>
  </si>
  <si>
    <t>Accumulated Deferred Income Tax Other Property</t>
  </si>
  <si>
    <t>Liberalized Depreciation</t>
  </si>
  <si>
    <t>Tax Equivalent Straight Line Depreciation (ESL) calculated on tax basis of assets using book rates vs. accelerated depreciation as computed for income tax purposes in accordance with the provisions of Code Sections 167 and 168.  Basis is depreciable plant</t>
  </si>
  <si>
    <t>Steam Heat</t>
  </si>
  <si>
    <t>part of liberalized deprec.</t>
  </si>
  <si>
    <t>Repair Allowance</t>
  </si>
  <si>
    <t>Repair costs deducted for tax in accordance with the asset guideline class repair allowance provisions for pre-1981 assets.</t>
  </si>
  <si>
    <t>Afudc interest Component</t>
  </si>
  <si>
    <t xml:space="preserve">AFUDC recorded on books not subject to tax requirements for capitalization per Code Sec 263A.   </t>
  </si>
  <si>
    <t>Employee Benefits And Taxes</t>
  </si>
  <si>
    <t xml:space="preserve">Employee benefits and taxes other than income capitalized for books vs. deducted for tax.  </t>
  </si>
  <si>
    <t>Removal Costs</t>
  </si>
  <si>
    <t>Cost of removal charged to accumulated depreciation reserve for book purposes but expensed for tax.</t>
  </si>
  <si>
    <t>Contribution In Aid Of Construction</t>
  </si>
  <si>
    <t>Customer advances taxable in year received under Tax Reform Act of 1986; treated as contributions to capital for book purposes</t>
  </si>
  <si>
    <t>Connection Fees</t>
  </si>
  <si>
    <t>Contributions taxable in year received under Tax Reform Act of 1986; treated as contributions to capital for book purposes.</t>
  </si>
  <si>
    <t>Deferred Income Tax Depreciation - Non Cost of Service</t>
  </si>
  <si>
    <t>Depreciation expense difference for the period 07/01/01 through 03/31/02 resulting from KCC approved depreciation rates as of 07/01/01 vs. the longer life pre-07/01/01 rates.</t>
  </si>
  <si>
    <t>Accumulated Deferred Income Tax Other Prop FASB109</t>
  </si>
  <si>
    <t>Gross Afudc</t>
  </si>
  <si>
    <t>Investment Tax Credit</t>
  </si>
  <si>
    <t>Flow Thru Regulatory Asset</t>
  </si>
  <si>
    <t>Rate Change ( Contra )</t>
  </si>
  <si>
    <t xml:space="preserve">Subtotal - p275  </t>
  </si>
  <si>
    <t>Accumulated Deferred Income Tax  Other Utility</t>
  </si>
  <si>
    <t>Long Term Deferred Tax Liability Reclass</t>
  </si>
  <si>
    <t>Coal Contract Buyout</t>
  </si>
  <si>
    <t>Coal Deficient Tonnage Payments</t>
  </si>
  <si>
    <t>Book amortization of AMAX coal contract buyout costs vs deducted for tax when paid in 1993.</t>
  </si>
  <si>
    <t>Book accrual for bad debts vs direct write off method for tax</t>
  </si>
  <si>
    <t>Bond Premium/discount</t>
  </si>
  <si>
    <t>Unamortized debt issue costs, discount/premium, and loss on reacquired debt deducted for tax vs. for books, these costs are added to and amortized over the life of the new issue</t>
  </si>
  <si>
    <t>Software Development Costs</t>
  </si>
  <si>
    <t>Book amortization of software development costs of CSS system vs. deducted for tax when costs were incurred</t>
  </si>
  <si>
    <t>Ad Valorem Tax Regulatory/Asset</t>
  </si>
  <si>
    <t>Regulatory asset recorded for ad valorem taxes not recognized for tax purposes.</t>
  </si>
  <si>
    <t>Regulatory Commission Expense</t>
  </si>
  <si>
    <t>Book amortization of regulatory commission expenses previously deducted for tax</t>
  </si>
  <si>
    <t>Integration Costs</t>
  </si>
  <si>
    <t>Acquisition related costs disallowed for tax purposes.</t>
  </si>
  <si>
    <t>Storm Costs</t>
  </si>
  <si>
    <t>Storm related carrying charges recorded on the books not deductible for tax</t>
  </si>
  <si>
    <t>Accumulated Deferred Income Tax  Other Non Utility</t>
  </si>
  <si>
    <t>Amortization of Acquisition Adjustment</t>
  </si>
  <si>
    <t>Other Accruals</t>
  </si>
  <si>
    <t>Guardian Dividends</t>
  </si>
  <si>
    <t>Deferred Income Tax Valuation Guardian Investment</t>
  </si>
  <si>
    <t>Deferred Income Tax Rabbi Trust Mark to Market</t>
  </si>
  <si>
    <t>Deferred Income Tax Mark to Market</t>
  </si>
  <si>
    <t>Accumulated Deferred Income Tax Hedges - Mark to Market</t>
  </si>
  <si>
    <t>Accumulated Deferred Income Tax Swaps - Mark to Market</t>
  </si>
  <si>
    <t>Deferred Income Tax - Misc Inv. Mark to Market</t>
  </si>
  <si>
    <t>Valuation Allowance - Def Inc Tax on KMF Fund Mark to Market</t>
  </si>
  <si>
    <t>TOTAL WORKING CAPITAL (sum lines 22 - 24)</t>
  </si>
  <si>
    <t>Deferred Income Tax - Oneok Common Mark to Market</t>
  </si>
  <si>
    <t>Mark to Market Call Option Hedge</t>
  </si>
  <si>
    <t>Deferred Income Tax on KMF Fund Mark to Market</t>
  </si>
  <si>
    <t>Less AC 2830240 Long Term Tax Reclass</t>
  </si>
  <si>
    <t xml:space="preserve">Subtotal - p277 </t>
  </si>
  <si>
    <t>WCNOC Net Operating Loss Rate Difference</t>
  </si>
  <si>
    <t>Income tax rate difference on previous KGE Federal net operating loss</t>
  </si>
  <si>
    <t>Consideration payment related to 2003 electric service agreement taxable income when payment received; amortized for books.</t>
  </si>
  <si>
    <t>Gain on Lacygne 2 Sale/Leaseback</t>
  </si>
  <si>
    <t>Generation related - Excluded</t>
  </si>
  <si>
    <t>Deferred Income Tax Regulatory/Liability Sale of Wichita SCC</t>
  </si>
  <si>
    <t>Gain on 2004 sale of land at Wichita service center set up on books as a regulatory liability vs. recognized as capital gain at time of sale for tax</t>
  </si>
  <si>
    <t>Book accrual for rebates to customers to be paid in 2005 and 2006; deductible for tax when paid.</t>
  </si>
  <si>
    <t>Oklahoma Municipal Power Agreement Sale</t>
  </si>
  <si>
    <t>Drexel Write Off</t>
  </si>
  <si>
    <t>Prudent Management Accounting Adjustment</t>
  </si>
  <si>
    <t>Deferred Compensation KGE</t>
  </si>
  <si>
    <t>Power Marketing Mark to Market-Deferred Tax</t>
  </si>
  <si>
    <t>KGE Building</t>
  </si>
  <si>
    <t>Less 19001 Tax Reclass</t>
  </si>
  <si>
    <t xml:space="preserve">AFUDC recorded on books not subject to tax requirements for capitalization per Code Sec 263A.  </t>
  </si>
  <si>
    <t xml:space="preserve">Cost of removal charged to accumulated depreciation reserve for book purposes but expensed for tax </t>
  </si>
  <si>
    <t>Deferred Income Tax FERC WCNOC and LaCygne</t>
  </si>
  <si>
    <t>FERC portion of depreciation expense difference for the period 04/01/02 through 12/21/04 resulting from KCC approved depreciation rates as of 07/01/01 vs. the longer life pre-07/01/01 rates for Wolf Creek Generating Station and LaCygne Unit 2.</t>
  </si>
  <si>
    <t>Depreciation - Non Cost of Services</t>
  </si>
  <si>
    <t>Deferred Income Tax Depreciation - KCC Difference 4/1/02</t>
  </si>
  <si>
    <t>KCC portion of depreciation expense difference for the period 04/01/02 through 12/21/04 resulting from KCC approved depreciation rates as of 07/01/01 vs the longer life pre-07/01/01 rates for Wolf Creek Generating Station and LaCygne Unit 2.</t>
  </si>
  <si>
    <t>Depreciation expense difference for the period 07/01/01 through 03/31/02 resulting from KCC approved depreciation rates as of 07/01/01 vs the longer life pre-07/01/01 rates</t>
  </si>
  <si>
    <t>Current Deferred Tax Liability Reclass</t>
  </si>
  <si>
    <t>Amax and Pandm Settlement</t>
  </si>
  <si>
    <t xml:space="preserve">Book amortization of AMAX coal contract buyout costs vs deducted for tax when paid in 1993.  </t>
  </si>
  <si>
    <t>Lacygne</t>
  </si>
  <si>
    <t xml:space="preserve">Accrued book expense for lease payments vs actual lease payments for tax. </t>
  </si>
  <si>
    <t xml:space="preserve">Industry Association Dues are capped at $1,000,000.  Line 5 - EPRI Annual Membership Dues listed in Form 1 at p. 335, </t>
  </si>
  <si>
    <t>Industry Association Dues are capped at $1,000,000.  Line 5 - EPRI Annual Membership Dues listed in Form 1 at p. 335,</t>
  </si>
  <si>
    <t>Monthly loads associated with the remaining revenue for Transmission Service (subaccount 456.000) from SWPP (e.g., retail) are also included in the DIVISOR.  However, the associated revenue is</t>
  </si>
  <si>
    <t xml:space="preserve">     included as a revenue credit to offset the associated SWPP expenses booked to account 566, Miscellaneous Transmission Expense.</t>
  </si>
  <si>
    <t>Wcnoc Outage Expense</t>
  </si>
  <si>
    <t xml:space="preserve">Nuclear refueling expenses amortized on books vs. actual expenses deducted for tax.  </t>
  </si>
  <si>
    <t>Regulatory asset recorded for ad valorem taxes not recognized for tax purposes</t>
  </si>
  <si>
    <t>Acquisition related costs disallowed for tax purposes</t>
  </si>
  <si>
    <t>Wcnoc Design Basis Costs</t>
  </si>
  <si>
    <t>Costs capitalized on books vs. deducted for tax.</t>
  </si>
  <si>
    <t>Flour Daniel Settlement</t>
  </si>
  <si>
    <t xml:space="preserve">WCOC related settlement proceeds recorded as income on books vs. recorded as basis adjustment for tax. </t>
  </si>
  <si>
    <t>Income Tax Audit Fees</t>
  </si>
  <si>
    <t>Balance of book vs. tax difference related to previous income tax audit fees</t>
  </si>
  <si>
    <t>Swap Fees</t>
  </si>
  <si>
    <t>Balance of book vs. tax difference related to swap fees (hedging fees)</t>
  </si>
  <si>
    <t>Amortization Of Acquisition Adjustment</t>
  </si>
  <si>
    <t>Deferred Income Tax   Mark to Market</t>
  </si>
  <si>
    <t>Less AC 28301 Tax Reclass</t>
  </si>
  <si>
    <t>Less</t>
  </si>
  <si>
    <t>Plus</t>
  </si>
  <si>
    <t>DA</t>
  </si>
  <si>
    <t>TOTAL ADJUSTMENTS</t>
  </si>
  <si>
    <t>Interest on Network Credits</t>
  </si>
  <si>
    <t>REV. REQUIREMENT  (sum lines 8, 12, 20, 27, 28 &amp; 29)</t>
  </si>
  <si>
    <t>B</t>
  </si>
  <si>
    <t>Line No.</t>
  </si>
  <si>
    <t>Retail</t>
  </si>
  <si>
    <t>100% Retail</t>
  </si>
  <si>
    <t>[Allocate</t>
  </si>
  <si>
    <t>by Plant]</t>
  </si>
  <si>
    <t>Revenue Credit for Acc. 456</t>
  </si>
  <si>
    <r>
      <t xml:space="preserve">  </t>
    </r>
    <r>
      <rPr>
        <sz val="10"/>
        <rFont val="Arial Narrow"/>
        <family val="2"/>
      </rPr>
      <t>Description</t>
    </r>
  </si>
  <si>
    <t>For both WEN and WES, only non-transmission related items included.  Determined by the ratio of pole attachments on transmission vs distribution.</t>
  </si>
  <si>
    <t>Westar Energy, Inc.</t>
  </si>
  <si>
    <t>Date</t>
  </si>
  <si>
    <t>Hour Ending</t>
  </si>
  <si>
    <t>Company Transmission Peak Load</t>
  </si>
  <si>
    <t>Westar's Transmission System Peak Load</t>
  </si>
  <si>
    <t>Less:          Non-Firm Sales to Cities</t>
  </si>
  <si>
    <t>Plus:           Non-Westar Generation</t>
  </si>
  <si>
    <t>Westar's Transmission Network Load</t>
  </si>
  <si>
    <t>n/a</t>
  </si>
  <si>
    <t>12-CP</t>
  </si>
  <si>
    <r>
      <t>Date</t>
    </r>
    <r>
      <rPr>
        <b/>
        <vertAlign val="superscript"/>
        <sz val="10"/>
        <rFont val="Arial"/>
        <family val="2"/>
      </rPr>
      <t>1</t>
    </r>
  </si>
  <si>
    <r>
      <t>Hour Ending</t>
    </r>
    <r>
      <rPr>
        <b/>
        <vertAlign val="superscript"/>
        <sz val="10"/>
        <rFont val="Arial"/>
        <family val="2"/>
      </rPr>
      <t>1</t>
    </r>
  </si>
  <si>
    <r>
      <t>Company Transmission Peak Load</t>
    </r>
    <r>
      <rPr>
        <b/>
        <vertAlign val="superscript"/>
        <sz val="10"/>
        <rFont val="Arial"/>
        <family val="2"/>
      </rPr>
      <t>1</t>
    </r>
  </si>
  <si>
    <r>
      <t>Adjustment</t>
    </r>
    <r>
      <rPr>
        <b/>
        <vertAlign val="superscript"/>
        <sz val="10"/>
        <rFont val="Arial"/>
        <family val="2"/>
      </rPr>
      <t>2</t>
    </r>
  </si>
  <si>
    <t>A</t>
  </si>
  <si>
    <r>
      <t>Load at Westar's Transmission System Peak Load</t>
    </r>
    <r>
      <rPr>
        <b/>
        <vertAlign val="superscript"/>
        <sz val="10"/>
        <rFont val="Arial"/>
        <family val="2"/>
      </rPr>
      <t>3</t>
    </r>
  </si>
  <si>
    <t>Load at Westar's Transmission Network Load</t>
  </si>
  <si>
    <t>GFA PTP</t>
  </si>
  <si>
    <t>Burlington</t>
  </si>
  <si>
    <t>KMEA-SPA</t>
  </si>
  <si>
    <t>KMEA</t>
  </si>
  <si>
    <t>OMPA-WRI</t>
  </si>
  <si>
    <t>Kaw Valley</t>
  </si>
  <si>
    <t>N-M</t>
  </si>
  <si>
    <t>KEPCo</t>
  </si>
  <si>
    <t>Midwest</t>
  </si>
  <si>
    <t>Firm</t>
  </si>
  <si>
    <t>#1-JEC</t>
  </si>
  <si>
    <t>(Chanute only)</t>
  </si>
  <si>
    <t>Nearman</t>
  </si>
  <si>
    <t>PPA1</t>
  </si>
  <si>
    <t>PPA2</t>
  </si>
  <si>
    <t>SWPA</t>
  </si>
  <si>
    <t>Sch B</t>
  </si>
  <si>
    <t>McPherson</t>
  </si>
  <si>
    <t>Energy</t>
  </si>
  <si>
    <t>Altamont</t>
  </si>
  <si>
    <t>Schedules</t>
  </si>
  <si>
    <t>Jan</t>
  </si>
  <si>
    <t>Feb</t>
  </si>
  <si>
    <t>Mar</t>
  </si>
  <si>
    <t>Apr</t>
  </si>
  <si>
    <t>Jun</t>
  </si>
  <si>
    <t>Jul</t>
  </si>
  <si>
    <t>Aug</t>
  </si>
  <si>
    <t>Sep</t>
  </si>
  <si>
    <t>Oct</t>
  </si>
  <si>
    <t>Nov</t>
  </si>
  <si>
    <t>Dec</t>
  </si>
  <si>
    <t>Augusta</t>
  </si>
  <si>
    <t>Erie</t>
  </si>
  <si>
    <t>Fredonia</t>
  </si>
  <si>
    <t>Iola</t>
  </si>
  <si>
    <t>Total Part. Req.</t>
  </si>
  <si>
    <t>Chanute</t>
  </si>
  <si>
    <t>Girard</t>
  </si>
  <si>
    <t>Mulvane</t>
  </si>
  <si>
    <t>Neodesha</t>
  </si>
  <si>
    <t>Wellington</t>
  </si>
  <si>
    <t>Winfield</t>
  </si>
  <si>
    <t>Demand (MW)</t>
  </si>
  <si>
    <t>111.57.c  (Note C)</t>
  </si>
  <si>
    <t xml:space="preserve">  Prepayments are the electric related prepayments booked to Account No. 165 and reported on FERC Form 1, p. 111, ln. 57.c.</t>
  </si>
  <si>
    <t>Transmission revenue from OMPA deferred on books and amortized over term of contract; recognized for tax upon receipt.</t>
  </si>
  <si>
    <t>Less:              GFA PTP Scheduled Load</t>
  </si>
  <si>
    <t>Plus:              GFA PTP Contract Demand</t>
  </si>
  <si>
    <r>
      <t>Less:              GFA PTP Scheduled Load</t>
    </r>
    <r>
      <rPr>
        <b/>
        <vertAlign val="superscript"/>
        <sz val="10"/>
        <rFont val="Arial"/>
        <family val="2"/>
      </rPr>
      <t>4</t>
    </r>
  </si>
  <si>
    <r>
      <t>Plus:              GFA PTP Contract Demand</t>
    </r>
    <r>
      <rPr>
        <b/>
        <vertAlign val="superscript"/>
        <sz val="10"/>
        <rFont val="Arial"/>
        <family val="2"/>
      </rPr>
      <t>5</t>
    </r>
  </si>
  <si>
    <t>Year Ending:</t>
  </si>
  <si>
    <t>This is the difference between "Company Transmission Peak Load" and "Load at Transmission System Peak Load."</t>
  </si>
  <si>
    <t>General Note:  References to pages in this formula rate are indicated as:  (page#, line#, col.#).</t>
  </si>
  <si>
    <t>Included in template</t>
  </si>
  <si>
    <t xml:space="preserve">  Included in template</t>
  </si>
  <si>
    <t>214.x.d  (Note B)</t>
  </si>
  <si>
    <t>WORKING CAPITAL</t>
  </si>
  <si>
    <t xml:space="preserve">  Materials &amp; Supplies</t>
  </si>
  <si>
    <t>calculated  (Note C)</t>
  </si>
  <si>
    <t>227.8.c &amp; .15.c  (Note B)</t>
  </si>
  <si>
    <t>Total transmission plant    (p. 1, ln. 2, col. 3)</t>
  </si>
  <si>
    <t>RATE BASE  (sum lines 18, 20, 21, &amp; 25)</t>
  </si>
  <si>
    <t>(line 19)</t>
  </si>
  <si>
    <t xml:space="preserve">  [ Rate Base (page 1, line 26) * Rate of Return (page 3, line 30)]</t>
  </si>
  <si>
    <t>LaCygne Dismantling Cost</t>
  </si>
  <si>
    <t>Federal - NOL Tax Benefits</t>
  </si>
  <si>
    <t>State Tax - Credits</t>
  </si>
  <si>
    <t xml:space="preserve">   Line 5a - wholesale Regulatory Commission Expenses directedly related to transmission service, ISO filings, or transmission siting itemized at 351.h. </t>
  </si>
  <si>
    <t xml:space="preserve">  all Regulatory Commission Expenses itemized at 351.h, and non-safety related advertising included in Account 930.1.</t>
  </si>
  <si>
    <t xml:space="preserve">   Line 5a - wholesale Regulatory Commission Expenses directly related to transmission service, ISO filings, or transmission siting itemized at 351.h. </t>
  </si>
  <si>
    <t xml:space="preserve">   all Regulatory Commission Expenses itemized at 351.h, and non-safety related advertising included in Account 930.1. </t>
  </si>
  <si>
    <t>Transmission plant included in rates  (line 1 less lines 2 &amp; 3)</t>
  </si>
  <si>
    <t>Total transmission expenses    (p. 2, ln. 1, col. 3)</t>
  </si>
  <si>
    <t>Included transmission expenses (line 6 less line 7)</t>
  </si>
  <si>
    <t>Percentage of transmission expenses after adjustment (line 8 divided by line 6)</t>
  </si>
  <si>
    <t>Percentage of transmission plant included in ISO Rates (line 5)</t>
  </si>
  <si>
    <t>I.</t>
  </si>
  <si>
    <t>P</t>
  </si>
  <si>
    <t xml:space="preserve">         Property (Note P)</t>
  </si>
  <si>
    <t>TP or GP</t>
  </si>
  <si>
    <t>If the transmission related component of property tax is specifically identified in Form 1, then a TP allocator shall be used.  Property tax</t>
  </si>
  <si>
    <t xml:space="preserve">  shall be allocated to transmission by the GP allocator if transmission related property tax is not specifically identified in the Form 1.</t>
  </si>
  <si>
    <t>Schedule 1-A of the SPP Regional Open Access Transmission Tariff and additional SPP monthly assessments pursuant to SPP Bylaws Section 8.4.</t>
  </si>
  <si>
    <t>Westar's Transmission Network Load)</t>
  </si>
  <si>
    <t xml:space="preserve"> (line 1 less line 7)</t>
  </si>
  <si>
    <t xml:space="preserve"> (line 2 less line 8)</t>
  </si>
  <si>
    <t xml:space="preserve"> (line 3 less line 9)</t>
  </si>
  <si>
    <t xml:space="preserve"> (line 4 less line 10)</t>
  </si>
  <si>
    <t xml:space="preserve"> (line 5 less line 11)</t>
  </si>
  <si>
    <r>
      <t xml:space="preserve">  Account No. 456      (Wksht. A, p. 1, Sec. </t>
    </r>
    <r>
      <rPr>
        <sz val="12.5"/>
        <rFont val="MS Serif"/>
        <family val="1"/>
      </rPr>
      <t>I</t>
    </r>
    <r>
      <rPr>
        <sz val="12"/>
        <rFont val="Arial"/>
        <family val="2"/>
      </rPr>
      <t>, WE Rev. Credit for Acct 456, Total)</t>
    </r>
  </si>
  <si>
    <t>Sch. WEN, p. 1, ln. 6, col. 4; Sch. WES, p. 1, ln. 6, col. 4</t>
  </si>
  <si>
    <t>WTP</t>
  </si>
  <si>
    <t>(Wksht. E, p. 1, Subtotal, Total ADIT)</t>
  </si>
  <si>
    <t>(Wksht. G, p.1, Subtotal, Total ADIT)</t>
  </si>
  <si>
    <t xml:space="preserve">       where WCLTD=(page 3, line 27) and R= (page 3, line 30)</t>
  </si>
  <si>
    <t>Percentage of transmission plant included in rates (line 4 divided by line 1)</t>
  </si>
  <si>
    <t>Less Account 216.1 (112.12.c)  (Note N)</t>
  </si>
  <si>
    <t>For the 12 months ended 12/31/05</t>
  </si>
  <si>
    <t>System Reliability - 2005 Rate Case</t>
  </si>
  <si>
    <t>Homeland Security - 2005 Rate Case</t>
  </si>
  <si>
    <r>
      <t xml:space="preserve">Revenue from Grandfathered Agreements involving interzonal transactions whose rates have </t>
    </r>
    <r>
      <rPr>
        <u val="single"/>
        <sz val="12"/>
        <rFont val="Arial MT"/>
        <family val="0"/>
      </rPr>
      <t>not</t>
    </r>
    <r>
      <rPr>
        <sz val="12"/>
        <rFont val="Arial MT"/>
        <family val="0"/>
      </rPr>
      <t xml:space="preserve"> been changed to eliminate or mitigate pancaking are </t>
    </r>
    <r>
      <rPr>
        <u val="single"/>
        <sz val="12"/>
        <rFont val="Arial MT"/>
        <family val="0"/>
      </rPr>
      <t>not</t>
    </r>
    <r>
      <rPr>
        <sz val="12"/>
        <rFont val="Arial MT"/>
        <family val="0"/>
      </rPr>
      <t xml:space="preserve"> included in Section </t>
    </r>
    <r>
      <rPr>
        <sz val="13.5"/>
        <rFont val="MS Serif"/>
        <family val="1"/>
      </rPr>
      <t>III</t>
    </r>
    <r>
      <rPr>
        <sz val="12"/>
        <rFont val="Arial MT"/>
        <family val="0"/>
      </rPr>
      <t xml:space="preserve"> above and the corresponding</t>
    </r>
  </si>
  <si>
    <r>
      <t xml:space="preserve">     loads are </t>
    </r>
    <r>
      <rPr>
        <u val="single"/>
        <sz val="12"/>
        <rFont val="Arial MT"/>
        <family val="0"/>
      </rPr>
      <t>not</t>
    </r>
    <r>
      <rPr>
        <sz val="12"/>
        <rFont val="Arial MT"/>
        <family val="0"/>
      </rPr>
      <t xml:space="preserve"> included in the DIVISOR.</t>
    </r>
  </si>
  <si>
    <r>
      <t xml:space="preserve">Revenue from Grandfathered Agreements involving interzonal transactions whose rates have been changed to eliminate or mitigate pancaking are included in Section </t>
    </r>
    <r>
      <rPr>
        <sz val="13.5"/>
        <rFont val="MS Serif"/>
        <family val="1"/>
      </rPr>
      <t>III</t>
    </r>
    <r>
      <rPr>
        <sz val="12"/>
        <rFont val="Arial MT"/>
        <family val="0"/>
      </rPr>
      <t xml:space="preserve"> above and the corresponding</t>
    </r>
  </si>
  <si>
    <t xml:space="preserve">     loads are included in the DIVISOR.</t>
  </si>
  <si>
    <t xml:space="preserve">                        References to data from FERC Form 1 are indicated as:  page#.line#.col</t>
  </si>
  <si>
    <t xml:space="preserve">  (until FERC Form 1 balances are adjusted to reflect application of seven-factor test).</t>
  </si>
  <si>
    <t>WTP Allocator is calculated as follows:</t>
  </si>
  <si>
    <r>
      <t xml:space="preserve">   peak load.  These amounts are assigned equally between WEN and WES in Sections </t>
    </r>
    <r>
      <rPr>
        <sz val="12"/>
        <rFont val="MS Serif"/>
        <family val="1"/>
      </rPr>
      <t>II</t>
    </r>
    <r>
      <rPr>
        <sz val="12"/>
        <rFont val="Arial"/>
        <family val="2"/>
      </rPr>
      <t xml:space="preserve"> and </t>
    </r>
    <r>
      <rPr>
        <sz val="12"/>
        <rFont val="MS Serif"/>
        <family val="1"/>
      </rPr>
      <t>III</t>
    </r>
    <r>
      <rPr>
        <sz val="12"/>
        <rFont val="Arial"/>
        <family val="2"/>
      </rPr>
      <t xml:space="preserve"> above.  Details are as follows:</t>
    </r>
  </si>
  <si>
    <t>"GFA PTP Scheduled Load" is the load in MW scheduled by Grandfathered Agreements' (GFA) customers taking firm point-to-point (PTP) service at the time of Westar's monthly transmission system</t>
  </si>
  <si>
    <t>"Non-Westar Generation" in kW is shown below (note: "n/a" applies to self-generation covered by grandfathered agreements).  Only generators operating</t>
  </si>
  <si>
    <t xml:space="preserve">   synchronously with the transmission system shall be included.</t>
  </si>
  <si>
    <r>
      <t xml:space="preserve">( see first note in Section </t>
    </r>
    <r>
      <rPr>
        <sz val="12"/>
        <rFont val="MS Serif"/>
        <family val="1"/>
      </rPr>
      <t>IV</t>
    </r>
    <r>
      <rPr>
        <sz val="12"/>
        <rFont val="Arial"/>
        <family val="2"/>
      </rPr>
      <t xml:space="preserve"> on page 2 of 2 )</t>
    </r>
  </si>
  <si>
    <r>
      <t>SWPP Allocated</t>
    </r>
    <r>
      <rPr>
        <u val="single"/>
        <sz val="10"/>
        <rFont val="Arial MT"/>
        <family val="0"/>
      </rPr>
      <t xml:space="preserve"> NITS</t>
    </r>
  </si>
  <si>
    <r>
      <t xml:space="preserve">SWPP Individual </t>
    </r>
    <r>
      <rPr>
        <u val="single"/>
        <sz val="10"/>
        <rFont val="Arial MT"/>
        <family val="0"/>
      </rPr>
      <t>NITS</t>
    </r>
  </si>
  <si>
    <r>
      <t xml:space="preserve">SWPP NITS Bought by </t>
    </r>
    <r>
      <rPr>
        <u val="single"/>
        <sz val="10"/>
        <rFont val="Arial MT"/>
        <family val="0"/>
      </rPr>
      <t>Others</t>
    </r>
  </si>
  <si>
    <t xml:space="preserve">       January </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</si>
  <si>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</si>
  <si>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</si>
  <si>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</si>
  <si>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</si>
  <si>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</si>
  <si>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</si>
  <si>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</si>
  <si>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</si>
  <si>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</si>
  <si>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</si>
  <si>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</si>
  <si>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Total</t>
  </si>
  <si>
    <t>Page 1 of 2</t>
  </si>
  <si>
    <t>Page 2 of 2</t>
  </si>
  <si>
    <t xml:space="preserve">  preferred stock (line 28).   No change in ROE may be made absent a filing with FERC.</t>
  </si>
  <si>
    <t xml:space="preserve">  preferred stock (line 28).  No change in ROE may be made absent a filing with FERC.</t>
  </si>
  <si>
    <t>Worksheet D-WEN O&amp;M Exclusions</t>
  </si>
  <si>
    <t>Worksheet F-WES O&amp;M Exclusions</t>
  </si>
  <si>
    <t>Wages &amp; Salary Allocator</t>
  </si>
  <si>
    <t>WTP=</t>
  </si>
  <si>
    <t>Percentage of transmission plant included in rates (Transmission plant included in rates/Total transmission plant)</t>
  </si>
  <si>
    <t xml:space="preserve">  Transmission (Wksht. D) (Note D)</t>
  </si>
  <si>
    <t xml:space="preserve">     Less Account 565  (Note E)</t>
  </si>
  <si>
    <t xml:space="preserve">     Less EPRI &amp; Reg. Comm. Exp. &amp; Non-safety  Ad. (Note F)</t>
  </si>
  <si>
    <t xml:space="preserve">     Plus Transmission Related Reg. Comm.  Exp. (Note F)</t>
  </si>
  <si>
    <t>TAXES OTHER THAN INCOME TAXES  (Note G)</t>
  </si>
  <si>
    <t xml:space="preserve"> (Note H)</t>
  </si>
  <si>
    <t xml:space="preserve">       and FIT, SIT &amp; p are as given in Note H.</t>
  </si>
  <si>
    <t>Less transmission plant excluded from ISO rates       (Note I)</t>
  </si>
  <si>
    <t>Less transmission plant included in OATT Ancillary Services  (Note J) (Note K)</t>
  </si>
  <si>
    <t>Less transmission expenses included in OATT Ancillary Services   (Note L)</t>
  </si>
  <si>
    <t>COMMON PLANT ALLOCATOR  (CE)   (Note M)</t>
  </si>
  <si>
    <t>(Note O)</t>
  </si>
  <si>
    <t xml:space="preserve">  Transmission (Wksht F) (Note D)</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</si>
</sst>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00"/>
    <numFmt numFmtId="172" formatCode="0.0%"/>
    <numFmt numFmtId="173" formatCode="0.00000000"/>
    <numFmt numFmtId="174" formatCode="0.0000000"/>
    <numFmt numFmtId="175" formatCode="0.000000"/>
    <numFmt numFmtId="176" formatCode="#,##0.0"/>
    <numFmt numFmtId="177" formatCode="0.0"/>
    <numFmt numFmtId="178" formatCode="&quot;$&quot;#,##0.000"/>
    <numFmt numFmtId="179" formatCode="&quot;$&quot;#,##0.00"/>
    <numFmt numFmtId="180" formatCode="General_)"/>
    <numFmt numFmtId="181" formatCode="&quot;$&quot;#,##0.0"/>
    <numFmt numFmtId="182" formatCode="_(* #,##0.000_);_(* \(#,##0.000\);_(* &quot;-&quot;??_);_(@_)"/>
    <numFmt numFmtId="183" formatCode="_(* #,##0.0_);_(* \(#,##0.0\);_(* &quot;-&quot;??_);_(@_)"/>
    <numFmt numFmtId="184" formatCode="_(* #,##0_);_(* \(#,##0\);_(* &quot;-&quot;??_);_(@_)"/>
    <numFmt numFmtId="185" formatCode="#,##0.0_);\(#,##0.0\)"/>
    <numFmt numFmtId="186" formatCode="_(&quot;$&quot;* #,##0.0_);_(&quot;$&quot;* \(#,##0.0\);_(&quot;$&quot;* &quot;-&quot;??_);_(@_)"/>
    <numFmt numFmtId="187" formatCode="_(&quot;$&quot;* #,##0.000_);_(&quot;$&quot;* \(#,##0.000\);_(&quot;$&quot;* &quot;-&quot;??_);_(@_)"/>
    <numFmt numFmtId="188" formatCode="_(&quot;$&quot;* #,##0.0000_);_(&quot;$&quot;* \(#,##0.0000\);_(&quot;$&quot;* &quot;-&quot;??_);_(@_)"/>
    <numFmt numFmtId="189" formatCode="_(&quot;$&quot;* #,##0.00000_);_(&quot;$&quot;* \(#,##0.00000\);_(&quot;$&quot;* &quot;-&quot;??_);_(@_)"/>
    <numFmt numFmtId="190" formatCode="_(&quot;$&quot;* #,##0_);_(&quot;$&quot;* \(#,##0\);_(&quot;$&quot;* &quot;-&quot;??_);_(@_)"/>
    <numFmt numFmtId="191" formatCode="&quot;$&quot;#,##0.0000"/>
    <numFmt numFmtId="192" formatCode="&quot;$&quot;#,##0.000000"/>
    <numFmt numFmtId="193" formatCode="&quot;$&quot;#,##0.0000000"/>
    <numFmt numFmtId="194" formatCode="0.0000%"/>
    <numFmt numFmtId="195" formatCode="&quot;$&quot;#,##0.00000"/>
    <numFmt numFmtId="196" formatCode="_(* #,##0.0000_);_(* \(#,##0.0000\);_(* &quot;-&quot;??_);_(@_)"/>
    <numFmt numFmtId="197" formatCode="_(* #,##0.00000_);_(* \(#,##0.00000\);_(* &quot;-&quot;??_);_(@_)"/>
    <numFmt numFmtId="198" formatCode="&quot;Yes&quot;;&quot;Yes&quot;;&quot;No&quot;"/>
    <numFmt numFmtId="199" formatCode="&quot;True&quot;;&quot;True&quot;;&quot;False&quot;"/>
    <numFmt numFmtId="200" formatCode="&quot;On&quot;;&quot;On&quot;;&quot;Off&quot;"/>
    <numFmt numFmtId="201" formatCode="_(* #,##0.0_);_(* \(#,##0.0\);_(* &quot;-&quot;_);_(@_)"/>
    <numFmt numFmtId="202" formatCode="_(* #,##0.00_);_(* \(#,##0.00\);_(* &quot;-&quot;_);_(@_)"/>
    <numFmt numFmtId="203" formatCode="0.00000%"/>
    <numFmt numFmtId="204" formatCode="#,##0.000_);\(#,##0.000\)"/>
    <numFmt numFmtId="205" formatCode="#,##0.0000_);\(#,##0.0000\)"/>
    <numFmt numFmtId="206" formatCode="#,##0.00000_);\(#,##0.00000\)"/>
    <numFmt numFmtId="207" formatCode="#,##0.000000_);\(#,##0.000000\)"/>
    <numFmt numFmtId="208" formatCode="0.000000000"/>
    <numFmt numFmtId="209" formatCode="0.0000000000"/>
    <numFmt numFmtId="210" formatCode="0.00000000000"/>
    <numFmt numFmtId="211" formatCode="0.000000000000"/>
    <numFmt numFmtId="212" formatCode="0.0000000000000"/>
    <numFmt numFmtId="213" formatCode="0.00000000000000"/>
    <numFmt numFmtId="214" formatCode="0_);\(0\)"/>
  </numFmts>
  <fonts count="58">
    <font>
      <sz val="12"/>
      <name val="Arial MT"/>
      <family val="0"/>
    </font>
    <font>
      <b/>
      <sz val="10"/>
      <name val="Arial"/>
      <family val="0"/>
    </font>
    <font>
      <i/>
      <sz val="10"/>
      <name val="Arial"/>
      <family val="0"/>
    </font>
    <font>
      <b/>
      <i/>
      <sz val="10"/>
      <name val="Arial"/>
      <family val="0"/>
    </font>
    <font>
      <sz val="12"/>
      <name val="Times New Roman"/>
      <family val="1"/>
    </font>
    <font>
      <sz val="10"/>
      <name val="Arial MT"/>
      <family val="0"/>
    </font>
    <font>
      <sz val="12"/>
      <name val="Arial"/>
      <family val="2"/>
    </font>
    <font>
      <b/>
      <u val="single"/>
      <sz val="12"/>
      <name val="Arial"/>
      <family val="2"/>
    </font>
    <font>
      <b/>
      <sz val="12"/>
      <name val="Arial"/>
      <family val="2"/>
    </font>
    <font>
      <sz val="11"/>
      <name val="Arial"/>
      <family val="2"/>
    </font>
    <font>
      <b/>
      <sz val="12"/>
      <name val="Arial MT"/>
      <family val="0"/>
    </font>
    <font>
      <sz val="14"/>
      <name val="Arial MT"/>
      <family val="0"/>
    </font>
    <font>
      <sz val="14"/>
      <name val="Times New Roman"/>
      <family val="1"/>
    </font>
    <font>
      <sz val="16"/>
      <name val="Arial MT"/>
      <family val="0"/>
    </font>
    <font>
      <sz val="10"/>
      <name val="Arial"/>
      <family val="2"/>
    </font>
    <font>
      <u val="single"/>
      <sz val="10"/>
      <name val="Arial"/>
      <family val="2"/>
    </font>
    <font>
      <sz val="10"/>
      <name val="Arial Narrow"/>
      <family val="2"/>
    </font>
    <font>
      <sz val="16"/>
      <name val="Arial Narrow"/>
      <family val="2"/>
    </font>
    <font>
      <b/>
      <sz val="16"/>
      <name val="Arial Narrow"/>
      <family val="2"/>
    </font>
    <font>
      <sz val="14"/>
      <name val="Arial Narrow"/>
      <family val="2"/>
    </font>
    <font>
      <b/>
      <i/>
      <sz val="12"/>
      <name val="Arial"/>
      <family val="2"/>
    </font>
    <font>
      <sz val="9"/>
      <name val="Arial"/>
      <family val="2"/>
    </font>
    <font>
      <b/>
      <sz val="10"/>
      <color indexed="10"/>
      <name val="Arial Narrow"/>
      <family val="2"/>
    </font>
    <font>
      <sz val="10"/>
      <color indexed="12"/>
      <name val="Arial"/>
      <family val="2"/>
    </font>
    <font>
      <b/>
      <sz val="10"/>
      <color indexed="10"/>
      <name val="Helv"/>
      <family val="0"/>
    </font>
    <font>
      <sz val="8"/>
      <name val="Arial"/>
      <family val="2"/>
    </font>
    <font>
      <b/>
      <sz val="16"/>
      <name val="Arial MT"/>
      <family val="0"/>
    </font>
    <font>
      <b/>
      <sz val="16"/>
      <name val="Arial"/>
      <family val="2"/>
    </font>
    <font>
      <b/>
      <sz val="10"/>
      <name val="Arial Narrow"/>
      <family val="2"/>
    </font>
    <font>
      <b/>
      <u val="single"/>
      <sz val="10"/>
      <name val="Arial Narrow"/>
      <family val="2"/>
    </font>
    <font>
      <b/>
      <sz val="14"/>
      <name val="Arial"/>
      <family val="2"/>
    </font>
    <font>
      <b/>
      <vertAlign val="superscript"/>
      <sz val="10"/>
      <name val="Arial"/>
      <family val="2"/>
    </font>
    <font>
      <u val="single"/>
      <sz val="12"/>
      <name val="Arial"/>
      <family val="2"/>
    </font>
    <font>
      <u val="single"/>
      <sz val="12"/>
      <name val="Arial MT"/>
      <family val="0"/>
    </font>
    <font>
      <b/>
      <sz val="20"/>
      <name val="Arial Narrow"/>
      <family val="2"/>
    </font>
    <font>
      <sz val="20"/>
      <name val="Arial Narrow"/>
      <family val="2"/>
    </font>
    <font>
      <b/>
      <sz val="20"/>
      <name val="Arial"/>
      <family val="2"/>
    </font>
    <font>
      <sz val="20"/>
      <name val="Arial MT"/>
      <family val="0"/>
    </font>
    <font>
      <b/>
      <sz val="14"/>
      <name val="Arial Narrow"/>
      <family val="2"/>
    </font>
    <font>
      <sz val="14"/>
      <name val="Arial"/>
      <family val="2"/>
    </font>
    <font>
      <b/>
      <sz val="14"/>
      <name val="Arial MT"/>
      <family val="0"/>
    </font>
    <font>
      <vertAlign val="superscript"/>
      <sz val="12"/>
      <name val="Arial"/>
      <family val="2"/>
    </font>
    <font>
      <sz val="10"/>
      <name val="Baskerville"/>
      <family val="1"/>
    </font>
    <font>
      <b/>
      <sz val="14"/>
      <name val="MS Serif"/>
      <family val="1"/>
    </font>
    <font>
      <sz val="13.5"/>
      <name val="MS Serif"/>
      <family val="1"/>
    </font>
    <font>
      <sz val="12"/>
      <name val="MS Serif"/>
      <family val="1"/>
    </font>
    <font>
      <b/>
      <sz val="16"/>
      <name val="MS Serif"/>
      <family val="1"/>
    </font>
    <font>
      <sz val="12.5"/>
      <name val="MS Serif"/>
      <family val="1"/>
    </font>
    <font>
      <sz val="12.5"/>
      <name val="Arial"/>
      <family val="2"/>
    </font>
    <font>
      <u val="single"/>
      <sz val="10"/>
      <name val="Arial MT"/>
      <family val="0"/>
    </font>
    <font>
      <sz val="11"/>
      <name val="Arial MT"/>
      <family val="0"/>
    </font>
    <font>
      <sz val="14"/>
      <color indexed="8"/>
      <name val="Arial"/>
      <family val="2"/>
    </font>
    <font>
      <sz val="14"/>
      <color indexed="8"/>
      <name val="Arial Narrow"/>
      <family val="2"/>
    </font>
    <font>
      <sz val="10"/>
      <color indexed="10"/>
      <name val="Arial"/>
      <family val="2"/>
    </font>
    <font>
      <b/>
      <sz val="10"/>
      <color indexed="10"/>
      <name val="Arial"/>
      <family val="2"/>
    </font>
    <font>
      <sz val="9"/>
      <color indexed="10"/>
      <name val="Arial"/>
      <family val="2"/>
    </font>
    <font>
      <b/>
      <sz val="9"/>
      <color indexed="10"/>
      <name val="Arial"/>
      <family val="2"/>
    </font>
    <font>
      <b/>
      <sz val="8"/>
      <name val="Arial MT"/>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s>
  <cellStyleXfs count="23">
    <xf numFmtId="179"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14" fillId="0" borderId="0">
      <alignment/>
      <protection/>
    </xf>
    <xf numFmtId="179" fontId="0" fillId="0" borderId="0" applyProtection="0">
      <alignment/>
    </xf>
    <xf numFmtId="0" fontId="6" fillId="0" borderId="0">
      <alignment/>
      <protection/>
    </xf>
    <xf numFmtId="9" fontId="14" fillId="0" borderId="0" applyFont="0" applyFill="0" applyBorder="0" applyAlignment="0" applyProtection="0"/>
  </cellStyleXfs>
  <cellXfs count="534">
    <xf numFmtId="179" fontId="0" fillId="0" borderId="0" xfId="0" applyAlignment="1">
      <alignment/>
    </xf>
    <xf numFmtId="0" fontId="0" fillId="0" borderId="0" xfId="0" applyNumberFormat="1" applyFont="1" applyAlignment="1">
      <alignment/>
    </xf>
    <xf numFmtId="3" fontId="0" fillId="0" borderId="0" xfId="0" applyNumberFormat="1" applyFont="1" applyAlignment="1">
      <alignment/>
    </xf>
    <xf numFmtId="0" fontId="0" fillId="0" borderId="0" xfId="0" applyNumberFormat="1" applyAlignment="1">
      <alignment/>
    </xf>
    <xf numFmtId="0" fontId="4" fillId="0" borderId="0" xfId="0" applyNumberFormat="1" applyFont="1" applyAlignment="1">
      <alignment horizontal="center"/>
    </xf>
    <xf numFmtId="0" fontId="5" fillId="0" borderId="0" xfId="0" applyNumberFormat="1" applyFont="1" applyAlignment="1">
      <alignment/>
    </xf>
    <xf numFmtId="179" fontId="5" fillId="0" borderId="0" xfId="0" applyFont="1" applyAlignment="1">
      <alignment/>
    </xf>
    <xf numFmtId="0" fontId="0" fillId="0" borderId="0" xfId="0" applyNumberFormat="1" applyFont="1" applyAlignment="1">
      <alignment/>
    </xf>
    <xf numFmtId="179" fontId="0" fillId="0" borderId="0" xfId="0" applyFont="1" applyAlignment="1">
      <alignment/>
    </xf>
    <xf numFmtId="0"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horizontal="center"/>
    </xf>
    <xf numFmtId="0" fontId="0" fillId="0" borderId="0" xfId="0" applyNumberFormat="1" applyFont="1" applyAlignment="1">
      <alignment horizontal="fill"/>
    </xf>
    <xf numFmtId="3" fontId="0" fillId="0" borderId="0" xfId="0" applyNumberFormat="1" applyFont="1" applyAlignment="1">
      <alignment horizontal="fill"/>
    </xf>
    <xf numFmtId="164" fontId="0" fillId="0" borderId="0" xfId="0" applyNumberFormat="1" applyFont="1" applyAlignment="1">
      <alignment horizontal="center"/>
    </xf>
    <xf numFmtId="3" fontId="0" fillId="0" borderId="0" xfId="0" applyNumberFormat="1" applyFont="1" applyAlignment="1">
      <alignment horizontal="center"/>
    </xf>
    <xf numFmtId="0" fontId="6" fillId="0" borderId="0" xfId="0" applyNumberFormat="1" applyFont="1" applyAlignment="1">
      <alignment/>
    </xf>
    <xf numFmtId="3" fontId="6" fillId="0" borderId="0" xfId="0" applyNumberFormat="1" applyFont="1" applyAlignment="1">
      <alignment/>
    </xf>
    <xf numFmtId="0" fontId="6" fillId="0" borderId="0" xfId="0" applyNumberFormat="1" applyFont="1" applyAlignment="1">
      <alignment/>
    </xf>
    <xf numFmtId="0" fontId="6" fillId="0" borderId="0" xfId="0" applyNumberFormat="1" applyFont="1" applyAlignment="1">
      <alignment horizontal="left"/>
    </xf>
    <xf numFmtId="0" fontId="6" fillId="0" borderId="0" xfId="0" applyNumberFormat="1" applyFont="1" applyAlignment="1">
      <alignment horizontal="center"/>
    </xf>
    <xf numFmtId="3" fontId="6" fillId="0" borderId="0" xfId="0" applyNumberFormat="1" applyFont="1" applyAlignment="1">
      <alignment/>
    </xf>
    <xf numFmtId="3" fontId="6" fillId="0" borderId="0" xfId="0" applyNumberFormat="1" applyFont="1" applyAlignment="1">
      <alignment horizontal="center"/>
    </xf>
    <xf numFmtId="49" fontId="6" fillId="0" borderId="0" xfId="0" applyNumberFormat="1" applyFont="1" applyAlignment="1">
      <alignment horizontal="left"/>
    </xf>
    <xf numFmtId="49" fontId="6"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Alignment="1">
      <alignment/>
    </xf>
    <xf numFmtId="0" fontId="8" fillId="0" borderId="0" xfId="0" applyNumberFormat="1" applyFont="1" applyAlignment="1">
      <alignment horizontal="center"/>
    </xf>
    <xf numFmtId="179" fontId="6" fillId="0" borderId="0" xfId="0" applyFont="1" applyAlignment="1">
      <alignment/>
    </xf>
    <xf numFmtId="0" fontId="8" fillId="0" borderId="0" xfId="0" applyNumberFormat="1" applyFont="1" applyAlignment="1">
      <alignment/>
    </xf>
    <xf numFmtId="165" fontId="6" fillId="0" borderId="0" xfId="0" applyNumberFormat="1" applyFont="1" applyAlignment="1">
      <alignment/>
    </xf>
    <xf numFmtId="3" fontId="6" fillId="0" borderId="0" xfId="0" applyNumberFormat="1" applyFont="1" applyAlignment="1">
      <alignment horizontal="left"/>
    </xf>
    <xf numFmtId="166" fontId="6" fillId="0" borderId="0" xfId="0" applyNumberFormat="1" applyFont="1" applyAlignment="1">
      <alignment horizontal="center"/>
    </xf>
    <xf numFmtId="3" fontId="6" fillId="0" borderId="0" xfId="0" applyNumberFormat="1" applyFont="1" applyAlignment="1">
      <alignment horizontal="fill"/>
    </xf>
    <xf numFmtId="164" fontId="6" fillId="0" borderId="0" xfId="0" applyNumberFormat="1" applyFont="1" applyAlignment="1">
      <alignment horizontal="center"/>
    </xf>
    <xf numFmtId="179" fontId="6" fillId="0" borderId="0" xfId="0" applyFont="1" applyAlignment="1">
      <alignment horizontal="center"/>
    </xf>
    <xf numFmtId="166" fontId="6" fillId="0" borderId="0" xfId="0" applyNumberFormat="1" applyFont="1" applyAlignment="1">
      <alignment/>
    </xf>
    <xf numFmtId="167" fontId="6" fillId="0" borderId="0" xfId="0" applyNumberFormat="1" applyFont="1" applyAlignment="1">
      <alignment/>
    </xf>
    <xf numFmtId="49" fontId="6" fillId="0" borderId="0" xfId="0" applyNumberFormat="1" applyFont="1" applyAlignment="1">
      <alignment/>
    </xf>
    <xf numFmtId="4" fontId="6" fillId="0" borderId="0" xfId="0" applyNumberFormat="1" applyFont="1" applyAlignment="1">
      <alignment/>
    </xf>
    <xf numFmtId="169" fontId="6" fillId="0" borderId="0" xfId="0" applyNumberFormat="1" applyFont="1" applyAlignment="1">
      <alignment/>
    </xf>
    <xf numFmtId="3" fontId="6" fillId="0" borderId="0" xfId="0" applyNumberFormat="1" applyFont="1" applyAlignment="1" quotePrefix="1">
      <alignment/>
    </xf>
    <xf numFmtId="168" fontId="6" fillId="0" borderId="0" xfId="0" applyNumberFormat="1" applyFont="1" applyAlignment="1">
      <alignment/>
    </xf>
    <xf numFmtId="168" fontId="6" fillId="0" borderId="0" xfId="0" applyNumberFormat="1" applyFont="1" applyAlignment="1">
      <alignment horizontal="center"/>
    </xf>
    <xf numFmtId="178" fontId="6" fillId="0" borderId="0" xfId="0" applyNumberFormat="1" applyFont="1" applyAlignment="1">
      <alignment/>
    </xf>
    <xf numFmtId="169" fontId="6" fillId="0" borderId="0" xfId="0" applyNumberFormat="1" applyFont="1" applyAlignment="1">
      <alignment/>
    </xf>
    <xf numFmtId="3" fontId="8" fillId="0" borderId="0" xfId="0" applyNumberFormat="1" applyFont="1" applyAlignment="1">
      <alignment horizontal="center"/>
    </xf>
    <xf numFmtId="164" fontId="6" fillId="0" borderId="0" xfId="0" applyNumberFormat="1" applyFont="1" applyAlignment="1">
      <alignment horizontal="left"/>
    </xf>
    <xf numFmtId="0" fontId="6" fillId="0" borderId="0" xfId="0" applyNumberFormat="1" applyFont="1" applyAlignment="1">
      <alignment/>
    </xf>
    <xf numFmtId="0" fontId="6" fillId="0" borderId="0" xfId="0" applyNumberFormat="1" applyFont="1" applyAlignment="1">
      <alignment/>
    </xf>
    <xf numFmtId="0" fontId="6" fillId="0" borderId="0" xfId="0" applyNumberFormat="1" applyFont="1" applyAlignment="1">
      <alignment horizontal="center"/>
    </xf>
    <xf numFmtId="0" fontId="8" fillId="0" borderId="0" xfId="0" applyNumberFormat="1" applyFont="1" applyAlignment="1">
      <alignment horizontal="center"/>
    </xf>
    <xf numFmtId="166" fontId="6" fillId="0" borderId="0" xfId="0" applyNumberFormat="1" applyFont="1" applyAlignment="1">
      <alignment horizontal="center"/>
    </xf>
    <xf numFmtId="164" fontId="6" fillId="0" borderId="0" xfId="0" applyNumberFormat="1" applyFont="1" applyAlignment="1">
      <alignment horizontal="left"/>
    </xf>
    <xf numFmtId="42" fontId="6" fillId="0" borderId="0" xfId="0" applyNumberFormat="1" applyFont="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179" fontId="6" fillId="0" borderId="0" xfId="0" applyNumberFormat="1" applyFont="1" applyAlignment="1">
      <alignment/>
    </xf>
    <xf numFmtId="0" fontId="6" fillId="0" borderId="1" xfId="0" applyNumberFormat="1" applyFont="1" applyBorder="1" applyAlignment="1">
      <alignment horizontal="center"/>
    </xf>
    <xf numFmtId="179" fontId="0" fillId="0" borderId="0" xfId="0" applyFill="1" applyAlignment="1" applyProtection="1">
      <alignment/>
      <protection/>
    </xf>
    <xf numFmtId="3" fontId="0" fillId="0" borderId="0" xfId="0" applyNumberFormat="1" applyFont="1" applyFill="1" applyAlignment="1" applyProtection="1">
      <alignment/>
      <protection/>
    </xf>
    <xf numFmtId="3" fontId="6" fillId="0" borderId="1" xfId="0" applyNumberFormat="1" applyFont="1" applyBorder="1" applyAlignment="1">
      <alignment/>
    </xf>
    <xf numFmtId="3" fontId="6" fillId="0" borderId="1" xfId="0" applyNumberFormat="1" applyFont="1" applyBorder="1" applyAlignment="1">
      <alignment horizontal="center"/>
    </xf>
    <xf numFmtId="3" fontId="6" fillId="0" borderId="0" xfId="0" applyNumberFormat="1" applyFont="1" applyBorder="1" applyAlignment="1">
      <alignment horizontal="center"/>
    </xf>
    <xf numFmtId="178" fontId="6" fillId="0" borderId="0" xfId="0" applyNumberFormat="1" applyFont="1" applyAlignment="1" applyProtection="1">
      <alignment/>
      <protection locked="0"/>
    </xf>
    <xf numFmtId="0" fontId="6" fillId="0" borderId="0" xfId="0" applyNumberFormat="1" applyFont="1" applyAlignment="1" applyProtection="1">
      <alignment/>
      <protection locked="0"/>
    </xf>
    <xf numFmtId="10" fontId="6" fillId="0" borderId="0" xfId="0" applyNumberFormat="1" applyFont="1" applyAlignment="1">
      <alignment horizontal="left"/>
    </xf>
    <xf numFmtId="0" fontId="0" fillId="0" borderId="0" xfId="0" applyNumberFormat="1" applyAlignment="1">
      <alignment horizontal="center"/>
    </xf>
    <xf numFmtId="0" fontId="0" fillId="0" borderId="1" xfId="0" applyNumberFormat="1" applyBorder="1" applyAlignment="1">
      <alignment horizontal="center"/>
    </xf>
    <xf numFmtId="0" fontId="6" fillId="0" borderId="1" xfId="0" applyNumberFormat="1" applyFont="1" applyBorder="1" applyAlignment="1">
      <alignment horizontal="centerContinuous"/>
    </xf>
    <xf numFmtId="42" fontId="6" fillId="0" borderId="2" xfId="0" applyNumberFormat="1" applyFont="1" applyBorder="1" applyAlignment="1">
      <alignment horizontal="right"/>
    </xf>
    <xf numFmtId="179" fontId="8" fillId="0" borderId="0" xfId="0" applyFont="1" applyAlignment="1">
      <alignment horizontal="center"/>
    </xf>
    <xf numFmtId="3" fontId="8" fillId="0" borderId="0" xfId="0" applyNumberFormat="1" applyFont="1" applyAlignment="1">
      <alignment/>
    </xf>
    <xf numFmtId="0" fontId="9" fillId="0" borderId="0" xfId="0" applyNumberFormat="1" applyFont="1" applyAlignment="1">
      <alignment horizontal="center"/>
    </xf>
    <xf numFmtId="3" fontId="6" fillId="0" borderId="2" xfId="0" applyNumberFormat="1" applyFont="1" applyBorder="1" applyAlignment="1">
      <alignment/>
    </xf>
    <xf numFmtId="179" fontId="0" fillId="0" borderId="1" xfId="0" applyBorder="1" applyAlignment="1">
      <alignment/>
    </xf>
    <xf numFmtId="0" fontId="10" fillId="0" borderId="0" xfId="0" applyNumberFormat="1" applyFont="1" applyAlignment="1">
      <alignment horizontal="center"/>
    </xf>
    <xf numFmtId="0" fontId="8" fillId="0" borderId="0" xfId="0" applyNumberFormat="1" applyFont="1" applyAlignment="1">
      <alignment/>
    </xf>
    <xf numFmtId="0" fontId="6" fillId="0" borderId="1" xfId="0" applyNumberFormat="1" applyFont="1" applyBorder="1" applyAlignment="1">
      <alignment/>
    </xf>
    <xf numFmtId="9" fontId="6" fillId="0" borderId="0" xfId="0" applyNumberFormat="1" applyFont="1" applyAlignment="1">
      <alignment/>
    </xf>
    <xf numFmtId="170" fontId="0" fillId="0" borderId="0" xfId="0" applyNumberFormat="1" applyAlignment="1">
      <alignment/>
    </xf>
    <xf numFmtId="0" fontId="0" fillId="0" borderId="0" xfId="0" applyNumberFormat="1" applyFont="1" applyAlignment="1">
      <alignment horizontal="center"/>
    </xf>
    <xf numFmtId="0" fontId="11" fillId="0" borderId="0" xfId="0" applyNumberFormat="1" applyFont="1" applyAlignment="1">
      <alignment/>
    </xf>
    <xf numFmtId="0" fontId="11" fillId="0" borderId="0" xfId="0" applyNumberFormat="1" applyFont="1" applyAlignment="1">
      <alignment horizontal="center"/>
    </xf>
    <xf numFmtId="0" fontId="11" fillId="0" borderId="0" xfId="0" applyNumberFormat="1" applyFont="1" applyAlignment="1">
      <alignment/>
    </xf>
    <xf numFmtId="3" fontId="11" fillId="0" borderId="0" xfId="0" applyNumberFormat="1" applyFont="1" applyAlignment="1">
      <alignment/>
    </xf>
    <xf numFmtId="0" fontId="12" fillId="0" borderId="0" xfId="0" applyNumberFormat="1" applyFont="1" applyAlignment="1">
      <alignment horizontal="center"/>
    </xf>
    <xf numFmtId="0" fontId="11" fillId="0" borderId="1" xfId="0" applyNumberFormat="1" applyFont="1" applyBorder="1" applyAlignment="1">
      <alignment horizontal="center"/>
    </xf>
    <xf numFmtId="0" fontId="13" fillId="0" borderId="0" xfId="0" applyNumberFormat="1" applyFont="1" applyAlignment="1">
      <alignment/>
    </xf>
    <xf numFmtId="3" fontId="13" fillId="0" borderId="0" xfId="0" applyNumberFormat="1" applyFont="1" applyAlignment="1">
      <alignment/>
    </xf>
    <xf numFmtId="178" fontId="6" fillId="2" borderId="0" xfId="0" applyNumberFormat="1" applyFont="1" applyFill="1" applyAlignment="1" applyProtection="1">
      <alignment/>
      <protection locked="0"/>
    </xf>
    <xf numFmtId="3" fontId="6" fillId="2" borderId="0" xfId="0" applyNumberFormat="1" applyFont="1" applyFill="1" applyAlignment="1">
      <alignment/>
    </xf>
    <xf numFmtId="3" fontId="6" fillId="2" borderId="1" xfId="0" applyNumberFormat="1" applyFont="1" applyFill="1" applyBorder="1" applyAlignment="1">
      <alignment/>
    </xf>
    <xf numFmtId="42" fontId="6" fillId="2" borderId="0" xfId="0" applyNumberFormat="1" applyFont="1" applyFill="1" applyAlignment="1">
      <alignment/>
    </xf>
    <xf numFmtId="0" fontId="6" fillId="0" borderId="0" xfId="0" applyNumberFormat="1" applyFont="1" applyFill="1" applyAlignment="1">
      <alignment/>
    </xf>
    <xf numFmtId="3" fontId="6" fillId="0" borderId="0" xfId="0" applyNumberFormat="1" applyFont="1" applyFill="1" applyAlignment="1">
      <alignment horizontal="right"/>
    </xf>
    <xf numFmtId="10" fontId="6" fillId="0" borderId="0" xfId="0" applyNumberFormat="1" applyFont="1" applyFill="1" applyAlignment="1">
      <alignment horizontal="right"/>
    </xf>
    <xf numFmtId="169" fontId="6" fillId="0" borderId="0" xfId="0" applyNumberFormat="1" applyFont="1" applyFill="1" applyAlignment="1">
      <alignment horizontal="right"/>
    </xf>
    <xf numFmtId="169" fontId="6" fillId="0" borderId="1" xfId="0" applyNumberFormat="1" applyFont="1" applyBorder="1" applyAlignment="1">
      <alignment/>
    </xf>
    <xf numFmtId="3" fontId="6" fillId="0" borderId="0" xfId="0" applyNumberFormat="1" applyFont="1" applyFill="1" applyAlignment="1">
      <alignment/>
    </xf>
    <xf numFmtId="179" fontId="11" fillId="0" borderId="0" xfId="0" applyFont="1" applyAlignment="1">
      <alignment/>
    </xf>
    <xf numFmtId="179" fontId="11" fillId="0" borderId="0" xfId="0" applyFont="1" applyAlignment="1">
      <alignment horizontal="center"/>
    </xf>
    <xf numFmtId="179" fontId="11" fillId="0" borderId="0" xfId="0" applyFont="1" applyFill="1" applyAlignment="1">
      <alignment/>
    </xf>
    <xf numFmtId="0" fontId="11" fillId="0" borderId="0" xfId="0" applyNumberFormat="1" applyFont="1" applyFill="1" applyAlignment="1">
      <alignment/>
    </xf>
    <xf numFmtId="0" fontId="13" fillId="0" borderId="0" xfId="0" applyNumberFormat="1" applyFont="1" applyFill="1" applyAlignment="1">
      <alignment/>
    </xf>
    <xf numFmtId="0" fontId="12" fillId="0" borderId="0" xfId="0" applyNumberFormat="1" applyFont="1" applyFill="1" applyAlignment="1">
      <alignment horizontal="center"/>
    </xf>
    <xf numFmtId="0" fontId="11" fillId="0" borderId="0" xfId="0" applyNumberFormat="1" applyFont="1" applyFill="1" applyAlignment="1">
      <alignment/>
    </xf>
    <xf numFmtId="0" fontId="0" fillId="0" borderId="0" xfId="0" applyNumberFormat="1" applyFont="1" applyFill="1" applyAlignment="1">
      <alignment/>
    </xf>
    <xf numFmtId="0" fontId="5" fillId="0" borderId="0" xfId="0" applyNumberFormat="1" applyFont="1" applyFill="1" applyAlignment="1">
      <alignment/>
    </xf>
    <xf numFmtId="0" fontId="6" fillId="0" borderId="0" xfId="0" applyNumberFormat="1" applyFont="1" applyFill="1" applyAlignment="1">
      <alignment/>
    </xf>
    <xf numFmtId="0" fontId="6" fillId="0" borderId="0" xfId="0" applyNumberFormat="1" applyFont="1" applyFill="1" applyAlignment="1">
      <alignment/>
    </xf>
    <xf numFmtId="179" fontId="0" fillId="0" borderId="0" xfId="0" applyFill="1" applyAlignment="1">
      <alignment/>
    </xf>
    <xf numFmtId="179" fontId="6" fillId="0" borderId="0" xfId="0" applyFont="1" applyFill="1" applyAlignment="1">
      <alignment/>
    </xf>
    <xf numFmtId="0" fontId="6" fillId="0" borderId="1" xfId="0" applyNumberFormat="1" applyFont="1" applyFill="1" applyBorder="1" applyAlignment="1">
      <alignment/>
    </xf>
    <xf numFmtId="0" fontId="6" fillId="0" borderId="1" xfId="0" applyNumberFormat="1" applyFont="1" applyFill="1" applyBorder="1" applyAlignment="1">
      <alignment/>
    </xf>
    <xf numFmtId="3" fontId="6" fillId="0" borderId="1" xfId="0" applyNumberFormat="1" applyFont="1" applyFill="1" applyBorder="1" applyAlignment="1">
      <alignment/>
    </xf>
    <xf numFmtId="3" fontId="6" fillId="0" borderId="0" xfId="0" applyNumberFormat="1" applyFont="1" applyFill="1" applyAlignment="1">
      <alignment horizontal="center"/>
    </xf>
    <xf numFmtId="49" fontId="6" fillId="0" borderId="0" xfId="0" applyNumberFormat="1" applyFon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0" fontId="8" fillId="0" borderId="0" xfId="0" applyNumberFormat="1" applyFont="1" applyFill="1" applyAlignment="1">
      <alignment/>
    </xf>
    <xf numFmtId="0" fontId="6" fillId="0" borderId="0" xfId="0" applyNumberFormat="1" applyFont="1" applyFill="1" applyAlignment="1">
      <alignment/>
    </xf>
    <xf numFmtId="0" fontId="6" fillId="0" borderId="0" xfId="0" applyNumberFormat="1" applyFont="1" applyFill="1" applyAlignment="1">
      <alignment horizontal="center"/>
    </xf>
    <xf numFmtId="165" fontId="6" fillId="0" borderId="0" xfId="0" applyNumberFormat="1" applyFont="1" applyFill="1" applyAlignment="1">
      <alignment/>
    </xf>
    <xf numFmtId="165" fontId="6" fillId="0" borderId="0" xfId="0" applyNumberFormat="1" applyFont="1" applyFill="1" applyAlignment="1">
      <alignment/>
    </xf>
    <xf numFmtId="10" fontId="11" fillId="2" borderId="0" xfId="0" applyNumberFormat="1" applyFont="1" applyFill="1" applyAlignment="1">
      <alignment/>
    </xf>
    <xf numFmtId="176" fontId="6" fillId="0" borderId="0" xfId="0" applyNumberFormat="1" applyFont="1" applyFill="1" applyAlignment="1">
      <alignment horizontal="left"/>
    </xf>
    <xf numFmtId="166" fontId="6" fillId="0" borderId="0" xfId="0" applyNumberFormat="1" applyFont="1" applyFill="1" applyAlignment="1">
      <alignment horizontal="right"/>
    </xf>
    <xf numFmtId="0" fontId="0" fillId="0" borderId="0" xfId="0" applyNumberFormat="1" applyFont="1" applyAlignment="1">
      <alignment/>
    </xf>
    <xf numFmtId="179" fontId="0" fillId="0" borderId="0" xfId="0" applyFont="1" applyAlignment="1">
      <alignment/>
    </xf>
    <xf numFmtId="0" fontId="0" fillId="0" borderId="0" xfId="0" applyNumberFormat="1" applyFont="1" applyAlignment="1">
      <alignment/>
    </xf>
    <xf numFmtId="0" fontId="0" fillId="0" borderId="0" xfId="0" applyNumberFormat="1" applyFont="1" applyAlignment="1">
      <alignment horizontal="center"/>
    </xf>
    <xf numFmtId="0" fontId="0" fillId="0" borderId="0" xfId="0" applyNumberFormat="1" applyFont="1" applyAlignment="1">
      <alignment horizontal="fill"/>
    </xf>
    <xf numFmtId="3" fontId="0" fillId="0" borderId="0" xfId="0" applyNumberFormat="1" applyFont="1" applyAlignment="1">
      <alignment horizontal="fill"/>
    </xf>
    <xf numFmtId="164" fontId="0" fillId="0" borderId="0" xfId="0" applyNumberFormat="1" applyFont="1" applyAlignment="1">
      <alignment horizontal="center"/>
    </xf>
    <xf numFmtId="3" fontId="0" fillId="0" borderId="0" xfId="0" applyNumberFormat="1" applyFont="1" applyAlignment="1">
      <alignment horizontal="center"/>
    </xf>
    <xf numFmtId="0" fontId="0" fillId="0" borderId="0" xfId="0" applyNumberFormat="1" applyFont="1" applyFill="1" applyAlignment="1">
      <alignment/>
    </xf>
    <xf numFmtId="179" fontId="14" fillId="0" borderId="0" xfId="0" applyFont="1" applyAlignment="1">
      <alignment/>
    </xf>
    <xf numFmtId="179" fontId="14" fillId="0" borderId="3" xfId="0" applyFont="1" applyBorder="1" applyAlignment="1">
      <alignment horizontal="centerContinuous"/>
    </xf>
    <xf numFmtId="179" fontId="15" fillId="0" borderId="0" xfId="0" applyFont="1" applyAlignment="1">
      <alignment horizontal="right"/>
    </xf>
    <xf numFmtId="39" fontId="14" fillId="0" borderId="0" xfId="0" applyNumberFormat="1" applyFont="1" applyAlignment="1">
      <alignment/>
    </xf>
    <xf numFmtId="39" fontId="15" fillId="0" borderId="0" xfId="0" applyNumberFormat="1" applyFont="1" applyBorder="1" applyAlignment="1">
      <alignment/>
    </xf>
    <xf numFmtId="39" fontId="15" fillId="0" borderId="0" xfId="0" applyNumberFormat="1" applyFont="1" applyAlignment="1">
      <alignment/>
    </xf>
    <xf numFmtId="37" fontId="14" fillId="0" borderId="0" xfId="0" applyNumberFormat="1" applyFont="1" applyAlignment="1">
      <alignment/>
    </xf>
    <xf numFmtId="179" fontId="5" fillId="0" borderId="0" xfId="0" applyFont="1" applyAlignment="1">
      <alignment/>
    </xf>
    <xf numFmtId="179" fontId="16" fillId="0" borderId="0" xfId="0" applyFont="1" applyAlignment="1">
      <alignment/>
    </xf>
    <xf numFmtId="179" fontId="17" fillId="0" borderId="0" xfId="0" applyFont="1" applyAlignment="1">
      <alignment horizontal="center"/>
    </xf>
    <xf numFmtId="179" fontId="17" fillId="0" borderId="0" xfId="0" applyFont="1" applyAlignment="1">
      <alignment/>
    </xf>
    <xf numFmtId="0" fontId="17" fillId="0" borderId="0" xfId="0" applyNumberFormat="1" applyFont="1" applyAlignment="1">
      <alignment/>
    </xf>
    <xf numFmtId="179" fontId="17" fillId="0" borderId="0" xfId="0" applyFont="1" applyFill="1" applyAlignment="1">
      <alignment/>
    </xf>
    <xf numFmtId="179" fontId="18" fillId="0" borderId="0" xfId="0" applyFont="1" applyAlignment="1">
      <alignment/>
    </xf>
    <xf numFmtId="0" fontId="17" fillId="0" borderId="0" xfId="0" applyNumberFormat="1" applyFont="1" applyAlignment="1">
      <alignment/>
    </xf>
    <xf numFmtId="166" fontId="6" fillId="0" borderId="0" xfId="0" applyNumberFormat="1" applyFont="1" applyAlignment="1">
      <alignment horizontal="right"/>
    </xf>
    <xf numFmtId="179" fontId="13" fillId="0" borderId="0" xfId="0" applyFont="1" applyAlignment="1">
      <alignment/>
    </xf>
    <xf numFmtId="179" fontId="0" fillId="0" borderId="0" xfId="0" applyAlignment="1">
      <alignment/>
    </xf>
    <xf numFmtId="3" fontId="0" fillId="0" borderId="0" xfId="0" applyNumberFormat="1" applyAlignment="1">
      <alignment/>
    </xf>
    <xf numFmtId="194" fontId="6" fillId="0" borderId="0" xfId="0" applyNumberFormat="1" applyFont="1" applyAlignment="1">
      <alignment/>
    </xf>
    <xf numFmtId="194" fontId="0" fillId="0" borderId="0" xfId="0" applyNumberFormat="1" applyFont="1" applyAlignment="1">
      <alignment/>
    </xf>
    <xf numFmtId="179" fontId="19" fillId="0" borderId="0" xfId="0" applyFont="1" applyAlignment="1">
      <alignment textRotation="90"/>
    </xf>
    <xf numFmtId="0" fontId="6" fillId="0" borderId="0" xfId="0" applyNumberFormat="1" applyFont="1" applyAlignment="1">
      <alignment vertical="top"/>
    </xf>
    <xf numFmtId="3" fontId="6" fillId="2" borderId="0" xfId="20" applyNumberFormat="1" applyFont="1" applyFill="1" applyAlignment="1" applyProtection="1">
      <alignment/>
      <protection locked="0"/>
    </xf>
    <xf numFmtId="169" fontId="6" fillId="2" borderId="0" xfId="20" applyNumberFormat="1" applyFont="1" applyFill="1" applyAlignment="1" applyProtection="1">
      <alignment/>
      <protection locked="0"/>
    </xf>
    <xf numFmtId="3" fontId="6" fillId="2" borderId="0" xfId="20" applyNumberFormat="1" applyFont="1" applyFill="1" applyAlignment="1" applyProtection="1">
      <alignment vertical="center"/>
      <protection locked="0"/>
    </xf>
    <xf numFmtId="3" fontId="6" fillId="2" borderId="1" xfId="20" applyNumberFormat="1" applyFont="1" applyFill="1" applyBorder="1" applyAlignment="1" applyProtection="1">
      <alignment/>
      <protection locked="0"/>
    </xf>
    <xf numFmtId="3" fontId="6" fillId="2" borderId="0" xfId="20" applyNumberFormat="1" applyFont="1" applyFill="1" applyBorder="1" applyAlignment="1" applyProtection="1">
      <alignment/>
      <protection locked="0"/>
    </xf>
    <xf numFmtId="42" fontId="6" fillId="2" borderId="0" xfId="20" applyNumberFormat="1" applyFont="1" applyFill="1" applyAlignment="1" applyProtection="1">
      <alignment/>
      <protection locked="0"/>
    </xf>
    <xf numFmtId="0" fontId="6" fillId="0" borderId="0" xfId="0" applyNumberFormat="1" applyFont="1" applyAlignment="1">
      <alignment horizontal="centerContinuous"/>
    </xf>
    <xf numFmtId="3" fontId="8" fillId="0" borderId="0" xfId="0" applyNumberFormat="1" applyFont="1" applyAlignment="1" quotePrefix="1">
      <alignment/>
    </xf>
    <xf numFmtId="0" fontId="10" fillId="0" borderId="0" xfId="0" applyNumberFormat="1" applyFont="1" applyAlignment="1" quotePrefix="1">
      <alignment/>
    </xf>
    <xf numFmtId="179" fontId="8" fillId="0" borderId="0" xfId="0" applyFont="1" applyAlignment="1" quotePrefix="1">
      <alignment/>
    </xf>
    <xf numFmtId="0" fontId="6" fillId="0" borderId="0" xfId="0" applyNumberFormat="1" applyFont="1" applyAlignment="1" quotePrefix="1">
      <alignment horizontal="right"/>
    </xf>
    <xf numFmtId="176" fontId="0" fillId="0" borderId="0" xfId="0" applyNumberFormat="1" applyFont="1" applyAlignment="1">
      <alignment/>
    </xf>
    <xf numFmtId="179" fontId="0" fillId="0" borderId="0" xfId="0" applyAlignment="1">
      <alignment horizontal="right"/>
    </xf>
    <xf numFmtId="3" fontId="0" fillId="0" borderId="0" xfId="0" applyNumberFormat="1" applyFont="1" applyAlignment="1">
      <alignment horizontal="right"/>
    </xf>
    <xf numFmtId="179" fontId="0" fillId="0" borderId="0" xfId="0" applyAlignment="1">
      <alignment horizontal="center"/>
    </xf>
    <xf numFmtId="0" fontId="6" fillId="0" borderId="0" xfId="0" applyNumberFormat="1" applyFont="1" applyFill="1" applyBorder="1" applyAlignment="1">
      <alignment/>
    </xf>
    <xf numFmtId="3" fontId="6" fillId="0" borderId="0" xfId="0" applyNumberFormat="1" applyFont="1" applyAlignment="1">
      <alignment vertical="top" wrapText="1"/>
    </xf>
    <xf numFmtId="3" fontId="6" fillId="2" borderId="0" xfId="20" applyNumberFormat="1" applyFont="1" applyFill="1" applyAlignment="1" applyProtection="1">
      <alignment vertical="top"/>
      <protection locked="0"/>
    </xf>
    <xf numFmtId="3" fontId="6" fillId="2" borderId="0" xfId="0" applyNumberFormat="1" applyFont="1" applyFill="1" applyAlignment="1">
      <alignment vertical="top"/>
    </xf>
    <xf numFmtId="1" fontId="0" fillId="0" borderId="0" xfId="0" applyNumberFormat="1" applyFill="1" applyAlignment="1">
      <alignment horizontal="center"/>
    </xf>
    <xf numFmtId="194" fontId="6" fillId="0" borderId="0" xfId="0" applyNumberFormat="1" applyFont="1" applyFill="1" applyAlignment="1">
      <alignment/>
    </xf>
    <xf numFmtId="0" fontId="14" fillId="0" borderId="0" xfId="19">
      <alignment/>
      <protection/>
    </xf>
    <xf numFmtId="0" fontId="14" fillId="0" borderId="0" xfId="19" applyAlignment="1">
      <alignment horizontal="left"/>
      <protection/>
    </xf>
    <xf numFmtId="0" fontId="3" fillId="0" borderId="0" xfId="19" applyFont="1">
      <alignment/>
      <protection/>
    </xf>
    <xf numFmtId="9" fontId="3" fillId="0" borderId="0" xfId="19" applyNumberFormat="1" applyFont="1" applyFill="1" applyAlignment="1">
      <alignment horizontal="center"/>
      <protection/>
    </xf>
    <xf numFmtId="0" fontId="3" fillId="0" borderId="0" xfId="19" applyFont="1" applyFill="1" applyAlignment="1">
      <alignment horizontal="center"/>
      <protection/>
    </xf>
    <xf numFmtId="184" fontId="14" fillId="0" borderId="0" xfId="19" applyNumberFormat="1">
      <alignment/>
      <protection/>
    </xf>
    <xf numFmtId="37" fontId="14" fillId="0" borderId="0" xfId="19" applyNumberFormat="1">
      <alignment/>
      <protection/>
    </xf>
    <xf numFmtId="184" fontId="14" fillId="0" borderId="0" xfId="15" applyNumberFormat="1" applyFont="1" applyAlignment="1">
      <alignment horizontal="left"/>
    </xf>
    <xf numFmtId="194" fontId="14" fillId="2" borderId="0" xfId="19" applyNumberFormat="1" applyFill="1">
      <alignment/>
      <protection/>
    </xf>
    <xf numFmtId="0" fontId="3" fillId="0" borderId="0" xfId="19" applyFont="1" applyFill="1">
      <alignment/>
      <protection/>
    </xf>
    <xf numFmtId="184" fontId="14" fillId="0" borderId="0" xfId="15" applyNumberFormat="1" applyAlignment="1">
      <alignment/>
    </xf>
    <xf numFmtId="0" fontId="3" fillId="0" borderId="0" xfId="19" applyFont="1" applyAlignment="1">
      <alignment horizontal="center"/>
      <protection/>
    </xf>
    <xf numFmtId="0" fontId="1" fillId="0" borderId="0" xfId="19" applyFont="1" applyAlignment="1">
      <alignment horizontal="center"/>
      <protection/>
    </xf>
    <xf numFmtId="0" fontId="16" fillId="0" borderId="0" xfId="19" applyFont="1">
      <alignment/>
      <protection/>
    </xf>
    <xf numFmtId="0" fontId="14" fillId="0" borderId="0" xfId="19" applyFill="1">
      <alignment/>
      <protection/>
    </xf>
    <xf numFmtId="184" fontId="14" fillId="0" borderId="0" xfId="19" applyNumberFormat="1" applyFill="1">
      <alignment/>
      <protection/>
    </xf>
    <xf numFmtId="0" fontId="2" fillId="0" borderId="0" xfId="19" applyFont="1" applyAlignment="1">
      <alignment horizontal="left"/>
      <protection/>
    </xf>
    <xf numFmtId="0" fontId="2" fillId="0" borderId="0" xfId="19" applyFont="1">
      <alignment/>
      <protection/>
    </xf>
    <xf numFmtId="184" fontId="2" fillId="0" borderId="0" xfId="19" applyNumberFormat="1" applyFont="1">
      <alignment/>
      <protection/>
    </xf>
    <xf numFmtId="0" fontId="14" fillId="0" borderId="0" xfId="19" applyAlignment="1">
      <alignment vertical="top"/>
      <protection/>
    </xf>
    <xf numFmtId="184" fontId="14" fillId="0" borderId="0" xfId="19" applyNumberFormat="1" applyAlignment="1">
      <alignment vertical="top"/>
      <protection/>
    </xf>
    <xf numFmtId="0" fontId="14" fillId="0" borderId="0" xfId="19" applyAlignment="1">
      <alignment horizontal="center" vertical="top"/>
      <protection/>
    </xf>
    <xf numFmtId="0" fontId="14" fillId="0" borderId="0" xfId="19" applyAlignment="1">
      <alignment wrapText="1"/>
      <protection/>
    </xf>
    <xf numFmtId="0" fontId="14" fillId="0" borderId="0" xfId="19" applyAlignment="1">
      <alignment horizontal="center"/>
      <protection/>
    </xf>
    <xf numFmtId="0" fontId="14" fillId="0" borderId="0" xfId="19" applyFill="1" applyAlignment="1">
      <alignment vertical="top"/>
      <protection/>
    </xf>
    <xf numFmtId="184" fontId="14" fillId="0" borderId="0" xfId="19" applyNumberFormat="1" applyFill="1" applyAlignment="1">
      <alignment vertical="top"/>
      <protection/>
    </xf>
    <xf numFmtId="0" fontId="14" fillId="0" borderId="0" xfId="19" applyFill="1" applyAlignment="1">
      <alignment vertical="top" wrapText="1"/>
      <protection/>
    </xf>
    <xf numFmtId="0" fontId="14" fillId="0" borderId="0" xfId="19" applyAlignment="1">
      <alignment vertical="top" wrapText="1"/>
      <protection/>
    </xf>
    <xf numFmtId="0" fontId="14" fillId="0" borderId="0" xfId="19" applyFont="1">
      <alignment/>
      <protection/>
    </xf>
    <xf numFmtId="184" fontId="14" fillId="0" borderId="0" xfId="19" applyNumberFormat="1" applyAlignment="1">
      <alignment horizontal="right"/>
      <protection/>
    </xf>
    <xf numFmtId="0" fontId="1" fillId="0" borderId="0" xfId="19" applyFont="1">
      <alignment/>
      <protection/>
    </xf>
    <xf numFmtId="0" fontId="2" fillId="0" borderId="0" xfId="19" applyFont="1" applyFill="1">
      <alignment/>
      <protection/>
    </xf>
    <xf numFmtId="0" fontId="16" fillId="0" borderId="0" xfId="19" applyFont="1" applyFill="1" applyBorder="1">
      <alignment/>
      <protection/>
    </xf>
    <xf numFmtId="0" fontId="2" fillId="0" borderId="0" xfId="19" applyFont="1" applyAlignment="1" quotePrefix="1">
      <alignment horizontal="left"/>
      <protection/>
    </xf>
    <xf numFmtId="0" fontId="22" fillId="0" borderId="0" xfId="19" applyFont="1" applyBorder="1">
      <alignment/>
      <protection/>
    </xf>
    <xf numFmtId="37" fontId="14" fillId="0" borderId="0" xfId="19" applyNumberFormat="1" applyFont="1">
      <alignment/>
      <protection/>
    </xf>
    <xf numFmtId="0" fontId="22" fillId="0" borderId="0" xfId="19" applyFont="1" applyFill="1" applyBorder="1">
      <alignment/>
      <protection/>
    </xf>
    <xf numFmtId="184" fontId="14" fillId="0" borderId="0" xfId="19" applyNumberFormat="1" applyFill="1" applyAlignment="1">
      <alignment horizontal="center"/>
      <protection/>
    </xf>
    <xf numFmtId="184" fontId="23" fillId="0" borderId="0" xfId="19" applyNumberFormat="1" applyFont="1">
      <alignment/>
      <protection/>
    </xf>
    <xf numFmtId="37" fontId="23" fillId="0" borderId="0" xfId="19" applyNumberFormat="1" applyFont="1">
      <alignment/>
      <protection/>
    </xf>
    <xf numFmtId="0" fontId="24" fillId="0" borderId="0" xfId="19" applyFont="1" applyFill="1" applyBorder="1">
      <alignment/>
      <protection/>
    </xf>
    <xf numFmtId="0" fontId="14" fillId="0" borderId="0" xfId="19" applyFill="1" applyAlignment="1">
      <alignment horizontal="center"/>
      <protection/>
    </xf>
    <xf numFmtId="37" fontId="1" fillId="0" borderId="0" xfId="19" applyNumberFormat="1" applyFont="1">
      <alignment/>
      <protection/>
    </xf>
    <xf numFmtId="0" fontId="22" fillId="0" borderId="0" xfId="19" applyFont="1" applyFill="1" applyBorder="1" applyAlignment="1">
      <alignment horizontal="left"/>
      <protection/>
    </xf>
    <xf numFmtId="0" fontId="24" fillId="0" borderId="0" xfId="19" applyFont="1" applyFill="1" applyBorder="1" applyAlignment="1">
      <alignment horizontal="left"/>
      <protection/>
    </xf>
    <xf numFmtId="37" fontId="14" fillId="0" borderId="0" xfId="19" applyNumberFormat="1" applyFill="1">
      <alignment/>
      <protection/>
    </xf>
    <xf numFmtId="184" fontId="14" fillId="0" borderId="0" xfId="19" applyNumberFormat="1" applyFill="1" applyBorder="1" applyAlignment="1">
      <alignment vertical="top"/>
      <protection/>
    </xf>
    <xf numFmtId="0" fontId="14" fillId="0" borderId="0" xfId="19" applyFill="1" applyAlignment="1">
      <alignment horizontal="center" vertical="top"/>
      <protection/>
    </xf>
    <xf numFmtId="0" fontId="14" fillId="0" borderId="0" xfId="19" applyFont="1" applyAlignment="1">
      <alignment horizontal="right"/>
      <protection/>
    </xf>
    <xf numFmtId="184" fontId="14" fillId="0" borderId="0" xfId="19" applyNumberFormat="1" applyBorder="1">
      <alignment/>
      <protection/>
    </xf>
    <xf numFmtId="184" fontId="14" fillId="0" borderId="0" xfId="19" applyNumberFormat="1" applyBorder="1" applyAlignment="1">
      <alignment vertical="top"/>
      <protection/>
    </xf>
    <xf numFmtId="0" fontId="2" fillId="0" borderId="0" xfId="19" applyFont="1" applyAlignment="1">
      <alignment horizontal="left" vertical="top"/>
      <protection/>
    </xf>
    <xf numFmtId="0" fontId="2" fillId="0" borderId="0" xfId="19" applyFont="1" applyFill="1" applyAlignment="1">
      <alignment wrapText="1"/>
      <protection/>
    </xf>
    <xf numFmtId="0" fontId="23" fillId="0" borderId="0" xfId="19" applyFont="1">
      <alignment/>
      <protection/>
    </xf>
    <xf numFmtId="0" fontId="16" fillId="0" borderId="0" xfId="19" applyFont="1" applyFill="1">
      <alignment/>
      <protection/>
    </xf>
    <xf numFmtId="0" fontId="25" fillId="0" borderId="0" xfId="19" applyFont="1" applyAlignment="1">
      <alignment wrapText="1"/>
      <protection/>
    </xf>
    <xf numFmtId="184" fontId="14" fillId="0" borderId="0" xfId="19" applyNumberFormat="1" applyFill="1" applyBorder="1">
      <alignment/>
      <protection/>
    </xf>
    <xf numFmtId="184" fontId="14" fillId="0" borderId="0" xfId="19" applyNumberFormat="1" applyBorder="1" applyAlignment="1">
      <alignment horizontal="right" vertical="top"/>
      <protection/>
    </xf>
    <xf numFmtId="184" fontId="14" fillId="0" borderId="0" xfId="19" applyNumberFormat="1" applyBorder="1" applyAlignment="1">
      <alignment horizontal="right"/>
      <protection/>
    </xf>
    <xf numFmtId="0" fontId="14" fillId="0" borderId="0" xfId="19" applyFill="1" applyAlignment="1">
      <alignment horizontal="left"/>
      <protection/>
    </xf>
    <xf numFmtId="184" fontId="14" fillId="0" borderId="0" xfId="15" applyNumberFormat="1" applyFill="1" applyAlignment="1">
      <alignment horizontal="right"/>
    </xf>
    <xf numFmtId="184" fontId="14" fillId="0" borderId="0" xfId="19" applyNumberFormat="1" applyFont="1">
      <alignment/>
      <protection/>
    </xf>
    <xf numFmtId="0" fontId="21" fillId="0" borderId="0" xfId="19" applyFont="1">
      <alignment/>
      <protection/>
    </xf>
    <xf numFmtId="184" fontId="14" fillId="0" borderId="0" xfId="15" applyNumberFormat="1" applyFont="1" applyAlignment="1">
      <alignment/>
    </xf>
    <xf numFmtId="183" fontId="14" fillId="0" borderId="0" xfId="15" applyNumberFormat="1" applyAlignment="1">
      <alignment/>
    </xf>
    <xf numFmtId="41" fontId="14" fillId="0" borderId="0" xfId="19" applyNumberFormat="1" applyFill="1" applyBorder="1">
      <alignment/>
      <protection/>
    </xf>
    <xf numFmtId="41" fontId="14" fillId="0" borderId="0" xfId="19" applyNumberFormat="1" applyFill="1">
      <alignment/>
      <protection/>
    </xf>
    <xf numFmtId="41" fontId="14" fillId="0" borderId="0" xfId="19" applyNumberFormat="1" applyBorder="1">
      <alignment/>
      <protection/>
    </xf>
    <xf numFmtId="41" fontId="14" fillId="0" borderId="0" xfId="19" applyNumberFormat="1">
      <alignment/>
      <protection/>
    </xf>
    <xf numFmtId="41" fontId="14" fillId="0" borderId="0" xfId="19" applyNumberFormat="1" applyFill="1" applyAlignment="1">
      <alignment vertical="top"/>
      <protection/>
    </xf>
    <xf numFmtId="41" fontId="14" fillId="0" borderId="0" xfId="19" applyNumberFormat="1" applyAlignment="1">
      <alignment vertical="top"/>
      <protection/>
    </xf>
    <xf numFmtId="0" fontId="14" fillId="0" borderId="0" xfId="19" applyFont="1" applyFill="1">
      <alignment/>
      <protection/>
    </xf>
    <xf numFmtId="41" fontId="14" fillId="0" borderId="0" xfId="19" applyNumberFormat="1" applyBorder="1" applyAlignment="1">
      <alignment vertical="top"/>
      <protection/>
    </xf>
    <xf numFmtId="37" fontId="14" fillId="0" borderId="0" xfId="19" applyNumberFormat="1" applyAlignment="1">
      <alignment vertical="top"/>
      <protection/>
    </xf>
    <xf numFmtId="43" fontId="14" fillId="0" borderId="0" xfId="19" applyNumberFormat="1">
      <alignment/>
      <protection/>
    </xf>
    <xf numFmtId="43" fontId="14" fillId="0" borderId="0" xfId="19" applyNumberFormat="1" applyBorder="1">
      <alignment/>
      <protection/>
    </xf>
    <xf numFmtId="43" fontId="14" fillId="0" borderId="0" xfId="15" applyFont="1" applyAlignment="1">
      <alignment/>
    </xf>
    <xf numFmtId="41" fontId="23" fillId="0" borderId="0" xfId="19" applyNumberFormat="1" applyFont="1">
      <alignment/>
      <protection/>
    </xf>
    <xf numFmtId="41" fontId="14" fillId="0" borderId="0" xfId="19" applyNumberFormat="1" applyFill="1" applyBorder="1" applyAlignment="1">
      <alignment vertical="top"/>
      <protection/>
    </xf>
    <xf numFmtId="37" fontId="14" fillId="0" borderId="0" xfId="19" applyNumberFormat="1" applyFill="1" applyAlignment="1">
      <alignment vertical="top"/>
      <protection/>
    </xf>
    <xf numFmtId="43" fontId="14" fillId="0" borderId="0" xfId="19" applyNumberFormat="1" applyFill="1" applyBorder="1">
      <alignment/>
      <protection/>
    </xf>
    <xf numFmtId="43" fontId="14" fillId="0" borderId="0" xfId="19" applyNumberFormat="1" applyAlignment="1">
      <alignment horizontal="right"/>
      <protection/>
    </xf>
    <xf numFmtId="41" fontId="14" fillId="0" borderId="0" xfId="19" applyNumberFormat="1" applyBorder="1" applyAlignment="1">
      <alignment horizontal="right" vertical="top"/>
      <protection/>
    </xf>
    <xf numFmtId="0" fontId="14" fillId="0" borderId="0" xfId="19" applyAlignment="1" quotePrefix="1">
      <alignment horizontal="left"/>
      <protection/>
    </xf>
    <xf numFmtId="0" fontId="14" fillId="0" borderId="0" xfId="19" applyFont="1" applyAlignment="1">
      <alignment horizontal="left"/>
      <protection/>
    </xf>
    <xf numFmtId="179" fontId="1" fillId="0" borderId="0" xfId="0" applyFont="1" applyAlignment="1">
      <alignment/>
    </xf>
    <xf numFmtId="0" fontId="14" fillId="0" borderId="0" xfId="19" applyAlignment="1">
      <alignment/>
      <protection/>
    </xf>
    <xf numFmtId="194" fontId="14" fillId="0" borderId="0" xfId="19" applyNumberFormat="1" applyFill="1">
      <alignment/>
      <protection/>
    </xf>
    <xf numFmtId="3" fontId="14" fillId="0" borderId="0" xfId="0" applyNumberFormat="1" applyFont="1" applyAlignment="1">
      <alignment/>
    </xf>
    <xf numFmtId="3" fontId="14" fillId="0" borderId="0" xfId="0" applyNumberFormat="1" applyFont="1" applyFill="1" applyAlignment="1">
      <alignment horizontal="right"/>
    </xf>
    <xf numFmtId="179" fontId="26" fillId="0" borderId="0" xfId="0" applyFont="1" applyFill="1" applyAlignment="1">
      <alignment/>
    </xf>
    <xf numFmtId="179" fontId="14" fillId="0" borderId="0" xfId="0" applyFont="1" applyFill="1" applyAlignment="1">
      <alignment/>
    </xf>
    <xf numFmtId="0" fontId="11" fillId="0" borderId="0" xfId="0" applyNumberFormat="1" applyFont="1" applyFill="1" applyAlignment="1">
      <alignment horizontal="center"/>
    </xf>
    <xf numFmtId="179" fontId="27" fillId="0" borderId="0" xfId="0" applyFont="1" applyFill="1" applyAlignment="1">
      <alignment/>
    </xf>
    <xf numFmtId="3" fontId="6" fillId="0" borderId="0" xfId="0" applyNumberFormat="1" applyFont="1" applyFill="1" applyAlignment="1">
      <alignment/>
    </xf>
    <xf numFmtId="179" fontId="5" fillId="0" borderId="0" xfId="0" applyFont="1" applyFill="1" applyAlignment="1">
      <alignment/>
    </xf>
    <xf numFmtId="179" fontId="16" fillId="0" borderId="0" xfId="0" applyFont="1" applyFill="1" applyAlignment="1">
      <alignment/>
    </xf>
    <xf numFmtId="179" fontId="28" fillId="0" borderId="0" xfId="0" applyFont="1" applyFill="1" applyAlignment="1">
      <alignment horizontal="left"/>
    </xf>
    <xf numFmtId="179" fontId="16" fillId="0" borderId="0" xfId="0" applyFont="1" applyFill="1" applyAlignment="1">
      <alignment horizontal="centerContinuous"/>
    </xf>
    <xf numFmtId="179" fontId="16" fillId="0" borderId="0" xfId="0" applyFont="1" applyFill="1" applyAlignment="1">
      <alignment/>
    </xf>
    <xf numFmtId="179" fontId="16" fillId="0" borderId="0" xfId="0" applyFont="1" applyFill="1" applyAlignment="1">
      <alignment wrapText="1"/>
    </xf>
    <xf numFmtId="179" fontId="5" fillId="0" borderId="0" xfId="0" applyFont="1" applyFill="1" applyAlignment="1">
      <alignment/>
    </xf>
    <xf numFmtId="0" fontId="16" fillId="0" borderId="0" xfId="0" applyNumberFormat="1" applyFont="1" applyAlignment="1">
      <alignment/>
    </xf>
    <xf numFmtId="3" fontId="16" fillId="0" borderId="0" xfId="0" applyNumberFormat="1" applyFont="1" applyAlignment="1">
      <alignment/>
    </xf>
    <xf numFmtId="0" fontId="16" fillId="0" borderId="0" xfId="0" applyNumberFormat="1" applyFont="1" applyAlignment="1">
      <alignment/>
    </xf>
    <xf numFmtId="0" fontId="16" fillId="0" borderId="0" xfId="0" applyNumberFormat="1" applyFont="1" applyAlignment="1">
      <alignment/>
    </xf>
    <xf numFmtId="3" fontId="16" fillId="0" borderId="0" xfId="0" applyNumberFormat="1" applyFont="1" applyFill="1" applyBorder="1" applyAlignment="1" applyProtection="1">
      <alignment/>
      <protection/>
    </xf>
    <xf numFmtId="0" fontId="28" fillId="0" borderId="0" xfId="0" applyNumberFormat="1" applyFont="1" applyAlignment="1">
      <alignment/>
    </xf>
    <xf numFmtId="179" fontId="28" fillId="0" borderId="0" xfId="0" applyFont="1" applyAlignment="1">
      <alignment/>
    </xf>
    <xf numFmtId="3" fontId="16" fillId="0" borderId="3" xfId="0" applyNumberFormat="1" applyFont="1" applyFill="1" applyBorder="1" applyAlignment="1" applyProtection="1">
      <alignment/>
      <protection/>
    </xf>
    <xf numFmtId="3" fontId="16" fillId="0" borderId="0" xfId="0" applyNumberFormat="1" applyFont="1" applyBorder="1" applyAlignment="1">
      <alignment/>
    </xf>
    <xf numFmtId="3" fontId="16" fillId="0" borderId="3" xfId="0" applyNumberFormat="1" applyFont="1" applyFill="1" applyBorder="1" applyAlignment="1">
      <alignment/>
    </xf>
    <xf numFmtId="170" fontId="28" fillId="2" borderId="0" xfId="0" applyNumberFormat="1" applyFont="1" applyFill="1" applyBorder="1" applyAlignment="1" applyProtection="1">
      <alignment/>
      <protection/>
    </xf>
    <xf numFmtId="170" fontId="16" fillId="2" borderId="0" xfId="0" applyNumberFormat="1" applyFont="1" applyFill="1" applyBorder="1" applyAlignment="1" applyProtection="1">
      <alignment/>
      <protection/>
    </xf>
    <xf numFmtId="3" fontId="16" fillId="0" borderId="0" xfId="0" applyNumberFormat="1" applyFont="1" applyFill="1" applyBorder="1" applyAlignment="1">
      <alignment/>
    </xf>
    <xf numFmtId="170" fontId="16" fillId="0" borderId="0" xfId="0" applyNumberFormat="1" applyFont="1" applyAlignment="1">
      <alignment/>
    </xf>
    <xf numFmtId="169" fontId="16" fillId="0" borderId="3" xfId="0" applyNumberFormat="1" applyFont="1" applyBorder="1" applyAlignment="1">
      <alignment/>
    </xf>
    <xf numFmtId="179" fontId="16" fillId="0" borderId="1" xfId="0" applyFont="1" applyBorder="1" applyAlignment="1">
      <alignment horizontal="center"/>
    </xf>
    <xf numFmtId="0" fontId="16" fillId="2" borderId="1" xfId="0" applyNumberFormat="1" applyFont="1" applyFill="1" applyBorder="1" applyAlignment="1">
      <alignment horizontal="center"/>
    </xf>
    <xf numFmtId="170" fontId="16" fillId="0" borderId="0" xfId="0" applyNumberFormat="1" applyFont="1" applyFill="1" applyBorder="1" applyAlignment="1" applyProtection="1">
      <alignment/>
      <protection/>
    </xf>
    <xf numFmtId="169" fontId="16" fillId="2" borderId="0" xfId="0" applyNumberFormat="1" applyFont="1" applyFill="1" applyAlignment="1">
      <alignment/>
    </xf>
    <xf numFmtId="179" fontId="29" fillId="0" borderId="0" xfId="0" applyFont="1" applyAlignment="1">
      <alignment/>
    </xf>
    <xf numFmtId="3" fontId="16" fillId="0" borderId="1" xfId="0" applyNumberFormat="1" applyFont="1" applyBorder="1" applyAlignment="1">
      <alignment/>
    </xf>
    <xf numFmtId="169" fontId="16" fillId="2" borderId="1" xfId="0" applyNumberFormat="1" applyFont="1" applyFill="1" applyBorder="1" applyAlignment="1">
      <alignment/>
    </xf>
    <xf numFmtId="3" fontId="16" fillId="0" borderId="0" xfId="0" applyNumberFormat="1" applyFont="1" applyAlignment="1">
      <alignment/>
    </xf>
    <xf numFmtId="167" fontId="16" fillId="0" borderId="0" xfId="0" applyNumberFormat="1" applyFont="1" applyAlignment="1">
      <alignment/>
    </xf>
    <xf numFmtId="0" fontId="16" fillId="0" borderId="0" xfId="0" applyNumberFormat="1" applyFont="1" applyFill="1" applyAlignment="1">
      <alignment/>
    </xf>
    <xf numFmtId="0" fontId="16" fillId="0" borderId="0" xfId="0" applyNumberFormat="1" applyFont="1" applyFill="1" applyAlignment="1">
      <alignment/>
    </xf>
    <xf numFmtId="0" fontId="16" fillId="0" borderId="0" xfId="0" applyNumberFormat="1" applyFont="1" applyFill="1" applyAlignment="1">
      <alignment/>
    </xf>
    <xf numFmtId="179" fontId="15" fillId="0" borderId="0" xfId="0" applyFont="1" applyFill="1" applyAlignment="1">
      <alignment horizontal="right"/>
    </xf>
    <xf numFmtId="179" fontId="14" fillId="0" borderId="0" xfId="0" applyFont="1" applyFill="1" applyAlignment="1">
      <alignment horizontal="right"/>
    </xf>
    <xf numFmtId="179" fontId="1" fillId="0" borderId="0" xfId="0" applyFont="1" applyFill="1" applyAlignment="1">
      <alignment/>
    </xf>
    <xf numFmtId="179" fontId="0" fillId="0" borderId="0" xfId="0" applyBorder="1" applyAlignment="1">
      <alignment/>
    </xf>
    <xf numFmtId="179" fontId="0" fillId="0" borderId="0" xfId="0" applyBorder="1" applyAlignment="1">
      <alignment horizontal="right"/>
    </xf>
    <xf numFmtId="37" fontId="0" fillId="0" borderId="0" xfId="0" applyNumberFormat="1" applyBorder="1" applyAlignment="1">
      <alignment/>
    </xf>
    <xf numFmtId="179" fontId="0" fillId="0" borderId="0" xfId="0" applyBorder="1" applyAlignment="1">
      <alignment horizontal="left"/>
    </xf>
    <xf numFmtId="7" fontId="0" fillId="0" borderId="0" xfId="0" applyNumberFormat="1" applyBorder="1" applyAlignment="1">
      <alignment/>
    </xf>
    <xf numFmtId="37" fontId="0" fillId="0" borderId="0" xfId="0" applyNumberFormat="1" applyAlignment="1">
      <alignment/>
    </xf>
    <xf numFmtId="39" fontId="0" fillId="0" borderId="0" xfId="0" applyNumberFormat="1" applyAlignment="1">
      <alignment/>
    </xf>
    <xf numFmtId="179" fontId="1" fillId="0" borderId="4" xfId="0" applyFont="1" applyFill="1" applyBorder="1" applyAlignment="1">
      <alignment horizontal="center"/>
    </xf>
    <xf numFmtId="179" fontId="1" fillId="0" borderId="4" xfId="0" applyFont="1" applyBorder="1" applyAlignment="1">
      <alignment horizontal="center" wrapText="1"/>
    </xf>
    <xf numFmtId="179" fontId="1" fillId="0" borderId="4" xfId="0" applyFont="1" applyBorder="1" applyAlignment="1">
      <alignment horizontal="center"/>
    </xf>
    <xf numFmtId="15" fontId="0" fillId="0" borderId="4" xfId="0" applyNumberFormat="1" applyBorder="1" applyAlignment="1">
      <alignment/>
    </xf>
    <xf numFmtId="1" fontId="0" fillId="0" borderId="4" xfId="0" applyNumberFormat="1" applyBorder="1" applyAlignment="1">
      <alignment/>
    </xf>
    <xf numFmtId="39" fontId="0" fillId="0" borderId="4" xfId="0" applyNumberFormat="1" applyBorder="1" applyAlignment="1">
      <alignment horizontal="center"/>
    </xf>
    <xf numFmtId="39" fontId="0" fillId="0" borderId="4" xfId="0" applyNumberFormat="1" applyBorder="1" applyAlignment="1">
      <alignment/>
    </xf>
    <xf numFmtId="179" fontId="0" fillId="0" borderId="4" xfId="0" applyBorder="1" applyAlignment="1">
      <alignment horizontal="right"/>
    </xf>
    <xf numFmtId="7" fontId="0" fillId="0" borderId="0" xfId="0" applyNumberFormat="1" applyAlignment="1">
      <alignment/>
    </xf>
    <xf numFmtId="39" fontId="14" fillId="0" borderId="4" xfId="0" applyNumberFormat="1" applyFont="1" applyBorder="1" applyAlignment="1">
      <alignment/>
    </xf>
    <xf numFmtId="37" fontId="0" fillId="0" borderId="4" xfId="0" applyNumberFormat="1" applyBorder="1" applyAlignment="1">
      <alignment/>
    </xf>
    <xf numFmtId="37" fontId="14" fillId="0" borderId="5" xfId="0" applyNumberFormat="1" applyFont="1" applyBorder="1" applyAlignment="1">
      <alignment horizontal="center"/>
    </xf>
    <xf numFmtId="37" fontId="14" fillId="0" borderId="6" xfId="0" applyNumberFormat="1" applyFont="1" applyBorder="1" applyAlignment="1">
      <alignment horizontal="center"/>
    </xf>
    <xf numFmtId="179" fontId="14" fillId="0" borderId="6" xfId="0" applyFont="1" applyBorder="1" applyAlignment="1">
      <alignment horizontal="center"/>
    </xf>
    <xf numFmtId="37" fontId="14" fillId="0" borderId="5" xfId="0" applyNumberFormat="1" applyFont="1" applyBorder="1" applyAlignment="1">
      <alignment/>
    </xf>
    <xf numFmtId="179" fontId="14" fillId="0" borderId="5" xfId="0" applyFont="1" applyBorder="1" applyAlignment="1">
      <alignment horizontal="center"/>
    </xf>
    <xf numFmtId="179" fontId="14" fillId="0" borderId="5" xfId="0" applyFont="1" applyBorder="1" applyAlignment="1">
      <alignment/>
    </xf>
    <xf numFmtId="179" fontId="15" fillId="0" borderId="0" xfId="0" applyFont="1" applyAlignment="1">
      <alignment horizontal="center"/>
    </xf>
    <xf numFmtId="179" fontId="14" fillId="0" borderId="7" xfId="0" applyFont="1" applyBorder="1" applyAlignment="1">
      <alignment horizontal="center"/>
    </xf>
    <xf numFmtId="37" fontId="14" fillId="0" borderId="7" xfId="0" applyNumberFormat="1" applyFont="1" applyBorder="1" applyAlignment="1">
      <alignment horizontal="center"/>
    </xf>
    <xf numFmtId="15" fontId="14" fillId="0" borderId="8" xfId="0" applyNumberFormat="1" applyFont="1" applyBorder="1" applyAlignment="1">
      <alignment/>
    </xf>
    <xf numFmtId="177" fontId="14" fillId="0" borderId="4" xfId="0" applyNumberFormat="1" applyFont="1" applyBorder="1" applyAlignment="1">
      <alignment/>
    </xf>
    <xf numFmtId="177" fontId="14" fillId="0" borderId="4" xfId="0" applyNumberFormat="1" applyFont="1" applyBorder="1" applyAlignment="1">
      <alignment horizontal="center"/>
    </xf>
    <xf numFmtId="171" fontId="14" fillId="0" borderId="4" xfId="0" applyNumberFormat="1" applyFont="1" applyBorder="1" applyAlignment="1">
      <alignment/>
    </xf>
    <xf numFmtId="37" fontId="15" fillId="0" borderId="0" xfId="0" applyNumberFormat="1" applyFont="1" applyAlignment="1">
      <alignment horizontal="center"/>
    </xf>
    <xf numFmtId="179" fontId="14" fillId="0" borderId="0" xfId="0" applyFont="1" applyBorder="1" applyAlignment="1">
      <alignment/>
    </xf>
    <xf numFmtId="179" fontId="14" fillId="0" borderId="0" xfId="0" applyFont="1" applyBorder="1" applyAlignment="1">
      <alignment horizontal="right"/>
    </xf>
    <xf numFmtId="7" fontId="14" fillId="0" borderId="0" xfId="0" applyNumberFormat="1" applyFont="1" applyBorder="1" applyAlignment="1">
      <alignment/>
    </xf>
    <xf numFmtId="179" fontId="14" fillId="0" borderId="0" xfId="0" applyFont="1" applyAlignment="1">
      <alignment horizontal="right"/>
    </xf>
    <xf numFmtId="7" fontId="14" fillId="0" borderId="0" xfId="0" applyNumberFormat="1" applyFont="1" applyAlignment="1">
      <alignment/>
    </xf>
    <xf numFmtId="7" fontId="25" fillId="0" borderId="0" xfId="0" applyNumberFormat="1" applyFont="1" applyAlignment="1">
      <alignment/>
    </xf>
    <xf numFmtId="37" fontId="25" fillId="0" borderId="0" xfId="0" applyNumberFormat="1" applyFont="1" applyAlignment="1">
      <alignment/>
    </xf>
    <xf numFmtId="179" fontId="25" fillId="0" borderId="0" xfId="0" applyFont="1" applyAlignment="1">
      <alignment/>
    </xf>
    <xf numFmtId="37" fontId="14" fillId="0" borderId="9" xfId="0" applyNumberFormat="1" applyFont="1" applyBorder="1" applyAlignment="1">
      <alignment horizontal="center"/>
    </xf>
    <xf numFmtId="15" fontId="14" fillId="0" borderId="0" xfId="0" applyNumberFormat="1" applyFont="1" applyBorder="1" applyAlignment="1">
      <alignment/>
    </xf>
    <xf numFmtId="1" fontId="14" fillId="0" borderId="0" xfId="0" applyNumberFormat="1" applyFont="1" applyBorder="1" applyAlignment="1">
      <alignment/>
    </xf>
    <xf numFmtId="179" fontId="14" fillId="0" borderId="0" xfId="0" applyFont="1" applyBorder="1" applyAlignment="1">
      <alignment horizontal="center"/>
    </xf>
    <xf numFmtId="37" fontId="14" fillId="0" borderId="0" xfId="0" applyNumberFormat="1" applyFont="1" applyAlignment="1">
      <alignment horizontal="center"/>
    </xf>
    <xf numFmtId="179" fontId="14" fillId="0" borderId="9" xfId="0" applyFont="1" applyBorder="1" applyAlignment="1">
      <alignment horizontal="center"/>
    </xf>
    <xf numFmtId="39" fontId="14" fillId="0" borderId="0" xfId="0" applyNumberFormat="1" applyFont="1" applyBorder="1" applyAlignment="1">
      <alignment/>
    </xf>
    <xf numFmtId="37" fontId="14" fillId="0" borderId="0" xfId="0" applyNumberFormat="1" applyFont="1" applyBorder="1" applyAlignment="1">
      <alignment horizontal="center"/>
    </xf>
    <xf numFmtId="15" fontId="25" fillId="0" borderId="0" xfId="0" applyNumberFormat="1" applyFont="1" applyAlignment="1">
      <alignment/>
    </xf>
    <xf numFmtId="1" fontId="25" fillId="0" borderId="0" xfId="0" applyNumberFormat="1" applyFont="1" applyAlignment="1">
      <alignment/>
    </xf>
    <xf numFmtId="0" fontId="6" fillId="0" borderId="0" xfId="0" applyNumberFormat="1" applyFont="1" applyFill="1" applyAlignment="1">
      <alignment horizontal="right"/>
    </xf>
    <xf numFmtId="179" fontId="26" fillId="0" borderId="0" xfId="0" applyFont="1" applyAlignment="1">
      <alignment/>
    </xf>
    <xf numFmtId="3" fontId="6" fillId="2" borderId="1" xfId="0" applyNumberFormat="1" applyFont="1" applyFill="1" applyBorder="1" applyAlignment="1">
      <alignment/>
    </xf>
    <xf numFmtId="39" fontId="14" fillId="0" borderId="4" xfId="0" applyNumberFormat="1" applyFont="1" applyBorder="1" applyAlignment="1">
      <alignment horizontal="right"/>
    </xf>
    <xf numFmtId="0" fontId="14" fillId="0" borderId="0" xfId="19" applyFont="1" applyAlignment="1">
      <alignment wrapText="1"/>
      <protection/>
    </xf>
    <xf numFmtId="179" fontId="6" fillId="0" borderId="0" xfId="0" applyFont="1" applyAlignment="1">
      <alignment/>
    </xf>
    <xf numFmtId="15" fontId="6" fillId="0" borderId="0" xfId="0" applyNumberFormat="1" applyFont="1" applyBorder="1" applyAlignment="1">
      <alignment/>
    </xf>
    <xf numFmtId="39" fontId="6" fillId="0" borderId="4" xfId="0" applyNumberFormat="1" applyFont="1" applyBorder="1" applyAlignment="1">
      <alignment/>
    </xf>
    <xf numFmtId="179" fontId="13" fillId="0" borderId="0" xfId="0" applyFont="1" applyAlignment="1">
      <alignment horizontal="right"/>
    </xf>
    <xf numFmtId="39" fontId="13" fillId="0" borderId="0" xfId="0" applyNumberFormat="1" applyFont="1" applyAlignment="1">
      <alignment horizontal="right"/>
    </xf>
    <xf numFmtId="179" fontId="27" fillId="0" borderId="0" xfId="0" applyFont="1" applyAlignment="1">
      <alignment/>
    </xf>
    <xf numFmtId="179" fontId="27" fillId="0" borderId="0" xfId="0" applyFont="1" applyAlignment="1">
      <alignment horizontal="center"/>
    </xf>
    <xf numFmtId="3" fontId="6" fillId="0" borderId="0" xfId="0" applyNumberFormat="1" applyFont="1" applyAlignment="1">
      <alignment horizontal="right"/>
    </xf>
    <xf numFmtId="1" fontId="6" fillId="0" borderId="0" xfId="0" applyNumberFormat="1" applyFont="1" applyAlignment="1">
      <alignment horizontal="center"/>
    </xf>
    <xf numFmtId="5" fontId="6" fillId="0" borderId="0" xfId="0" applyNumberFormat="1" applyFont="1" applyAlignment="1">
      <alignment/>
    </xf>
    <xf numFmtId="37" fontId="32" fillId="0" borderId="0" xfId="0" applyNumberFormat="1" applyFont="1" applyAlignment="1">
      <alignment/>
    </xf>
    <xf numFmtId="179" fontId="6" fillId="0" borderId="0" xfId="0" applyFont="1" applyAlignment="1">
      <alignment horizontal="right"/>
    </xf>
    <xf numFmtId="170" fontId="6" fillId="0" borderId="0" xfId="0" applyNumberFormat="1" applyFont="1" applyAlignment="1">
      <alignment/>
    </xf>
    <xf numFmtId="164" fontId="6" fillId="0" borderId="0" xfId="22" applyNumberFormat="1" applyFont="1" applyAlignment="1">
      <alignment/>
    </xf>
    <xf numFmtId="5" fontId="6" fillId="0" borderId="0" xfId="15" applyNumberFormat="1" applyFont="1" applyAlignment="1">
      <alignment/>
    </xf>
    <xf numFmtId="37" fontId="6" fillId="0" borderId="0" xfId="15" applyNumberFormat="1" applyFont="1" applyAlignment="1">
      <alignment/>
    </xf>
    <xf numFmtId="37" fontId="32" fillId="0" borderId="0" xfId="15" applyNumberFormat="1" applyFont="1" applyAlignment="1">
      <alignment/>
    </xf>
    <xf numFmtId="184" fontId="6" fillId="0" borderId="0" xfId="15" applyNumberFormat="1" applyFont="1" applyAlignment="1">
      <alignment/>
    </xf>
    <xf numFmtId="42" fontId="6" fillId="0" borderId="0" xfId="0" applyNumberFormat="1" applyFont="1" applyFill="1" applyAlignment="1">
      <alignment/>
    </xf>
    <xf numFmtId="0" fontId="6" fillId="0" borderId="0" xfId="0" applyNumberFormat="1" applyFont="1" applyFill="1" applyAlignment="1">
      <alignment horizontal="right"/>
    </xf>
    <xf numFmtId="0" fontId="27" fillId="0" borderId="0" xfId="19" applyFont="1" applyAlignment="1">
      <alignment horizontal="left"/>
      <protection/>
    </xf>
    <xf numFmtId="0" fontId="20" fillId="0" borderId="0" xfId="19" applyFont="1" applyFill="1" applyAlignment="1">
      <alignment horizontal="center"/>
      <protection/>
    </xf>
    <xf numFmtId="0" fontId="0" fillId="0" borderId="0" xfId="0" applyNumberFormat="1" applyFont="1" applyFill="1" applyAlignment="1">
      <alignment/>
    </xf>
    <xf numFmtId="0" fontId="6" fillId="0" borderId="0" xfId="0" applyNumberFormat="1" applyFont="1" applyAlignment="1">
      <alignment horizontal="right"/>
    </xf>
    <xf numFmtId="165" fontId="6" fillId="0" borderId="0" xfId="0" applyNumberFormat="1" applyFont="1" applyFill="1" applyAlignment="1">
      <alignment horizontal="left"/>
    </xf>
    <xf numFmtId="166" fontId="6" fillId="0" borderId="0" xfId="0" applyNumberFormat="1" applyFont="1" applyFill="1" applyAlignment="1">
      <alignment horizontal="left"/>
    </xf>
    <xf numFmtId="169" fontId="6" fillId="0" borderId="0" xfId="0" applyNumberFormat="1" applyFont="1" applyAlignment="1">
      <alignment horizontal="left"/>
    </xf>
    <xf numFmtId="179" fontId="34" fillId="0" borderId="0" xfId="0" applyFont="1" applyAlignment="1">
      <alignment horizontal="left"/>
    </xf>
    <xf numFmtId="179" fontId="35" fillId="0" borderId="0" xfId="0" applyFont="1" applyAlignment="1">
      <alignment/>
    </xf>
    <xf numFmtId="179" fontId="35" fillId="0" borderId="0" xfId="0" applyFont="1" applyFill="1" applyAlignment="1">
      <alignment/>
    </xf>
    <xf numFmtId="179" fontId="36" fillId="0" borderId="0" xfId="0" applyFont="1" applyAlignment="1">
      <alignment horizontal="center"/>
    </xf>
    <xf numFmtId="0" fontId="35" fillId="0" borderId="0" xfId="0" applyNumberFormat="1" applyFont="1" applyAlignment="1">
      <alignment horizontal="center"/>
    </xf>
    <xf numFmtId="179" fontId="19" fillId="0" borderId="0" xfId="0" applyFont="1" applyAlignment="1">
      <alignment vertical="top" wrapText="1"/>
    </xf>
    <xf numFmtId="179" fontId="38" fillId="0" borderId="0" xfId="0" applyFont="1" applyAlignment="1">
      <alignment horizontal="centerContinuous"/>
    </xf>
    <xf numFmtId="179" fontId="19" fillId="0" borderId="0" xfId="0" applyFont="1" applyAlignment="1">
      <alignment horizontal="centerContinuous"/>
    </xf>
    <xf numFmtId="179" fontId="19" fillId="0" borderId="0" xfId="0" applyFont="1" applyAlignment="1">
      <alignment/>
    </xf>
    <xf numFmtId="0" fontId="38" fillId="0" borderId="0" xfId="0" applyNumberFormat="1" applyFont="1" applyAlignment="1">
      <alignment/>
    </xf>
    <xf numFmtId="3" fontId="38" fillId="0" borderId="0" xfId="0" applyNumberFormat="1" applyFont="1" applyAlignment="1">
      <alignment/>
    </xf>
    <xf numFmtId="3" fontId="19" fillId="0" borderId="0" xfId="0" applyNumberFormat="1" applyFont="1" applyAlignment="1">
      <alignment/>
    </xf>
    <xf numFmtId="179" fontId="19" fillId="0" borderId="0" xfId="0" applyFont="1" applyAlignment="1">
      <alignment/>
    </xf>
    <xf numFmtId="0" fontId="20" fillId="0" borderId="0" xfId="19" applyFont="1" applyFill="1" applyAlignment="1">
      <alignment horizontal="left"/>
      <protection/>
    </xf>
    <xf numFmtId="0" fontId="27" fillId="0" borderId="0" xfId="19" applyFont="1" applyFill="1" applyAlignment="1">
      <alignment horizontal="left"/>
      <protection/>
    </xf>
    <xf numFmtId="0" fontId="6" fillId="0" borderId="0" xfId="19" applyFont="1" applyAlignment="1">
      <alignment horizontal="right"/>
      <protection/>
    </xf>
    <xf numFmtId="0" fontId="19" fillId="0" borderId="0" xfId="0" applyNumberFormat="1" applyFont="1" applyAlignment="1">
      <alignment/>
    </xf>
    <xf numFmtId="3" fontId="19" fillId="0" borderId="0" xfId="0" applyNumberFormat="1" applyFont="1" applyAlignment="1">
      <alignment/>
    </xf>
    <xf numFmtId="179" fontId="38" fillId="0" borderId="0" xfId="0" applyFont="1" applyAlignment="1">
      <alignment/>
    </xf>
    <xf numFmtId="3" fontId="39" fillId="0" borderId="0" xfId="0" applyNumberFormat="1" applyFont="1" applyAlignment="1">
      <alignment/>
    </xf>
    <xf numFmtId="170" fontId="19" fillId="0" borderId="0" xfId="0" applyNumberFormat="1" applyFont="1" applyAlignment="1">
      <alignment/>
    </xf>
    <xf numFmtId="3" fontId="38" fillId="2" borderId="0" xfId="0" applyNumberFormat="1" applyFont="1" applyFill="1" applyAlignment="1">
      <alignment/>
    </xf>
    <xf numFmtId="179" fontId="11" fillId="0" borderId="0" xfId="0" applyFont="1" applyAlignment="1">
      <alignment horizontal="right"/>
    </xf>
    <xf numFmtId="0" fontId="14" fillId="0" borderId="0" xfId="19" applyFont="1" applyAlignment="1">
      <alignment horizontal="right"/>
      <protection/>
    </xf>
    <xf numFmtId="179" fontId="10" fillId="0" borderId="0" xfId="0" applyFont="1" applyAlignment="1">
      <alignment/>
    </xf>
    <xf numFmtId="41" fontId="2" fillId="0" borderId="0" xfId="19" applyNumberFormat="1" applyFont="1" applyBorder="1">
      <alignment/>
      <protection/>
    </xf>
    <xf numFmtId="179" fontId="30" fillId="0" borderId="0" xfId="0" applyFont="1" applyFill="1" applyAlignment="1">
      <alignment horizontal="center"/>
    </xf>
    <xf numFmtId="179" fontId="40" fillId="0" borderId="0" xfId="0" applyFont="1" applyAlignment="1">
      <alignment horizontal="center"/>
    </xf>
    <xf numFmtId="179" fontId="30" fillId="0" borderId="0" xfId="0" applyFont="1" applyAlignment="1">
      <alignment horizontal="center"/>
    </xf>
    <xf numFmtId="179" fontId="10" fillId="0" borderId="0" xfId="0" applyFont="1" applyAlignment="1">
      <alignment horizontal="right"/>
    </xf>
    <xf numFmtId="179" fontId="40" fillId="0" borderId="0" xfId="0" applyFont="1" applyAlignment="1">
      <alignment horizontal="right"/>
    </xf>
    <xf numFmtId="214" fontId="40" fillId="0" borderId="0" xfId="0" applyNumberFormat="1" applyFont="1" applyAlignment="1">
      <alignment horizontal="center"/>
    </xf>
    <xf numFmtId="214" fontId="40" fillId="0" borderId="0" xfId="0" applyNumberFormat="1" applyFont="1" applyAlignment="1">
      <alignment horizontal="left"/>
    </xf>
    <xf numFmtId="179" fontId="40" fillId="0" borderId="0" xfId="0" applyFont="1" applyAlignment="1">
      <alignment horizontal="left"/>
    </xf>
    <xf numFmtId="37" fontId="6" fillId="0" borderId="4" xfId="0" applyNumberFormat="1" applyFont="1" applyBorder="1" applyAlignment="1">
      <alignment/>
    </xf>
    <xf numFmtId="177" fontId="14" fillId="0" borderId="4" xfId="0" applyNumberFormat="1" applyFont="1" applyBorder="1" applyAlignment="1">
      <alignment horizontal="right"/>
    </xf>
    <xf numFmtId="179" fontId="0" fillId="0" borderId="5" xfId="0" applyBorder="1" applyAlignment="1">
      <alignment/>
    </xf>
    <xf numFmtId="179" fontId="5" fillId="0" borderId="6" xfId="0" applyFont="1" applyBorder="1" applyAlignment="1">
      <alignment horizontal="center"/>
    </xf>
    <xf numFmtId="3" fontId="30" fillId="0" borderId="0" xfId="0" applyNumberFormat="1" applyFont="1" applyAlignment="1">
      <alignment horizontal="center"/>
    </xf>
    <xf numFmtId="179" fontId="30" fillId="0" borderId="0" xfId="0" applyFont="1" applyBorder="1" applyAlignment="1">
      <alignment horizontal="center"/>
    </xf>
    <xf numFmtId="7" fontId="30" fillId="0" borderId="0" xfId="0" applyNumberFormat="1" applyFont="1" applyBorder="1" applyAlignment="1">
      <alignment horizontal="center"/>
    </xf>
    <xf numFmtId="7" fontId="30" fillId="0" borderId="0" xfId="0" applyNumberFormat="1" applyFont="1" applyBorder="1" applyAlignment="1">
      <alignment horizontal="left"/>
    </xf>
    <xf numFmtId="214" fontId="30" fillId="0" borderId="0" xfId="0" applyNumberFormat="1" applyFont="1" applyBorder="1" applyAlignment="1">
      <alignment horizontal="left"/>
    </xf>
    <xf numFmtId="179" fontId="6" fillId="0" borderId="0" xfId="0" applyFont="1" applyAlignment="1">
      <alignment horizontal="left"/>
    </xf>
    <xf numFmtId="179" fontId="32" fillId="0" borderId="0" xfId="0" applyFont="1" applyAlignment="1">
      <alignment/>
    </xf>
    <xf numFmtId="1" fontId="6" fillId="0" borderId="0" xfId="0" applyNumberFormat="1" applyFont="1" applyAlignment="1">
      <alignment horizontal="right"/>
    </xf>
    <xf numFmtId="179" fontId="32" fillId="0" borderId="0" xfId="0" applyFont="1" applyAlignment="1">
      <alignment horizontal="center"/>
    </xf>
    <xf numFmtId="179" fontId="0" fillId="0" borderId="1" xfId="0" applyFill="1" applyBorder="1" applyAlignment="1">
      <alignment/>
    </xf>
    <xf numFmtId="0" fontId="6" fillId="0" borderId="1" xfId="0" applyNumberFormat="1" applyFont="1" applyFill="1" applyBorder="1" applyAlignment="1">
      <alignment/>
    </xf>
    <xf numFmtId="179" fontId="27" fillId="0" borderId="0" xfId="0" applyFont="1" applyAlignment="1">
      <alignment/>
    </xf>
    <xf numFmtId="179" fontId="0" fillId="0" borderId="0" xfId="0" applyFont="1" applyAlignment="1">
      <alignment/>
    </xf>
    <xf numFmtId="179" fontId="42" fillId="0" borderId="0" xfId="0" applyFont="1" applyAlignment="1">
      <alignment/>
    </xf>
    <xf numFmtId="179" fontId="46" fillId="0" borderId="0" xfId="0" applyFont="1" applyAlignment="1">
      <alignment/>
    </xf>
    <xf numFmtId="179" fontId="43" fillId="0" borderId="0" xfId="0" applyFont="1" applyFill="1" applyAlignment="1">
      <alignment/>
    </xf>
    <xf numFmtId="179" fontId="46" fillId="0" borderId="0" xfId="0" applyFont="1" applyFill="1" applyAlignment="1">
      <alignment/>
    </xf>
    <xf numFmtId="179" fontId="19" fillId="0" borderId="0" xfId="0" applyFont="1" applyFill="1" applyAlignment="1">
      <alignment/>
    </xf>
    <xf numFmtId="0" fontId="19" fillId="0" borderId="0" xfId="0" applyNumberFormat="1" applyFont="1" applyAlignment="1">
      <alignment horizontal="center"/>
    </xf>
    <xf numFmtId="179" fontId="6" fillId="0" borderId="1" xfId="0" applyFont="1" applyBorder="1" applyAlignment="1">
      <alignment/>
    </xf>
    <xf numFmtId="179" fontId="33" fillId="0" borderId="0" xfId="0" applyFont="1" applyAlignment="1">
      <alignment/>
    </xf>
    <xf numFmtId="179" fontId="5" fillId="0" borderId="0" xfId="0" applyFont="1" applyFill="1" applyAlignment="1">
      <alignment horizontal="center" wrapText="1"/>
    </xf>
    <xf numFmtId="179" fontId="15" fillId="0" borderId="0" xfId="0" applyFont="1" applyAlignment="1">
      <alignment/>
    </xf>
    <xf numFmtId="179" fontId="49" fillId="0" borderId="0" xfId="0" applyFont="1" applyFill="1" applyAlignment="1">
      <alignment/>
    </xf>
    <xf numFmtId="0" fontId="0" fillId="0" borderId="0" xfId="0" applyNumberFormat="1" applyFont="1" applyFill="1" applyAlignment="1">
      <alignment/>
    </xf>
    <xf numFmtId="0" fontId="50" fillId="0" borderId="0" xfId="0" applyNumberFormat="1" applyFont="1" applyAlignment="1">
      <alignment/>
    </xf>
    <xf numFmtId="179" fontId="0" fillId="0" borderId="0" xfId="0" applyFont="1" applyFill="1" applyAlignment="1">
      <alignment/>
    </xf>
    <xf numFmtId="179" fontId="49" fillId="0" borderId="0" xfId="0" applyFont="1" applyFill="1" applyAlignment="1">
      <alignment horizontal="center" wrapText="1"/>
    </xf>
    <xf numFmtId="179" fontId="0" fillId="0" borderId="0" xfId="0" applyFont="1" applyAlignment="1">
      <alignment/>
    </xf>
    <xf numFmtId="179" fontId="0" fillId="0" borderId="0" xfId="0" applyFont="1" applyAlignment="1">
      <alignment/>
    </xf>
    <xf numFmtId="41" fontId="19" fillId="2" borderId="0" xfId="0" applyNumberFormat="1" applyFont="1" applyFill="1" applyAlignment="1">
      <alignment/>
    </xf>
    <xf numFmtId="4" fontId="51" fillId="0" borderId="0" xfId="21" applyNumberFormat="1" applyFont="1" applyFill="1" applyAlignment="1">
      <alignment horizontal="center"/>
      <protection/>
    </xf>
    <xf numFmtId="179" fontId="39" fillId="0" borderId="0" xfId="0" applyFont="1" applyAlignment="1">
      <alignment/>
    </xf>
    <xf numFmtId="179" fontId="39" fillId="0" borderId="0" xfId="0" applyFont="1" applyAlignment="1">
      <alignment/>
    </xf>
    <xf numFmtId="4" fontId="51" fillId="0" borderId="0" xfId="21" applyNumberFormat="1" applyFont="1" applyFill="1" applyAlignment="1">
      <alignment/>
      <protection/>
    </xf>
    <xf numFmtId="3" fontId="51" fillId="0" borderId="0" xfId="21" applyNumberFormat="1" applyFont="1" applyFill="1" applyBorder="1" applyAlignment="1">
      <alignment horizontal="left"/>
      <protection/>
    </xf>
    <xf numFmtId="179" fontId="39" fillId="0" borderId="0" xfId="0" applyFont="1" applyAlignment="1">
      <alignment horizontal="center"/>
    </xf>
    <xf numFmtId="10" fontId="14" fillId="0" borderId="0" xfId="21" applyNumberFormat="1" applyFont="1" applyFill="1" applyAlignment="1">
      <alignment/>
      <protection/>
    </xf>
    <xf numFmtId="0" fontId="39" fillId="0" borderId="0" xfId="21" applyNumberFormat="1" applyFont="1" applyFill="1" applyAlignment="1">
      <alignment horizontal="left"/>
      <protection/>
    </xf>
    <xf numFmtId="3" fontId="51" fillId="0" borderId="0" xfId="21" applyNumberFormat="1" applyFont="1" applyFill="1" applyAlignment="1">
      <alignment horizontal="left"/>
      <protection/>
    </xf>
    <xf numFmtId="179" fontId="19" fillId="2" borderId="0" xfId="0" applyFont="1" applyFill="1" applyAlignment="1">
      <alignment/>
    </xf>
    <xf numFmtId="4" fontId="52" fillId="2" borderId="0" xfId="21" applyNumberFormat="1" applyFont="1" applyFill="1" applyAlignment="1">
      <alignment/>
      <protection/>
    </xf>
    <xf numFmtId="4" fontId="52" fillId="2" borderId="0" xfId="21" applyNumberFormat="1" applyFont="1" applyFill="1" applyBorder="1" applyAlignment="1">
      <alignment/>
      <protection/>
    </xf>
    <xf numFmtId="41" fontId="0" fillId="0" borderId="0" xfId="0" applyNumberFormat="1" applyAlignment="1">
      <alignment/>
    </xf>
    <xf numFmtId="39" fontId="14" fillId="3" borderId="0" xfId="0" applyNumberFormat="1" applyFont="1" applyFill="1" applyAlignment="1">
      <alignment horizontal="right" wrapText="1"/>
    </xf>
    <xf numFmtId="39" fontId="15" fillId="3" borderId="0" xfId="0" applyNumberFormat="1" applyFont="1" applyFill="1" applyAlignment="1">
      <alignment horizontal="right" wrapText="1"/>
    </xf>
    <xf numFmtId="41" fontId="21" fillId="0" borderId="0" xfId="0" applyNumberFormat="1" applyFont="1" applyAlignment="1">
      <alignment/>
    </xf>
    <xf numFmtId="41" fontId="21" fillId="0" borderId="0" xfId="0" applyNumberFormat="1" applyFont="1" applyBorder="1" applyAlignment="1">
      <alignment/>
    </xf>
    <xf numFmtId="3" fontId="14" fillId="0" borderId="0" xfId="19" applyNumberFormat="1" applyAlignment="1">
      <alignment horizontal="right"/>
      <protection/>
    </xf>
    <xf numFmtId="3" fontId="21" fillId="0" borderId="0" xfId="0" applyNumberFormat="1" applyFont="1" applyAlignment="1">
      <alignment/>
    </xf>
    <xf numFmtId="3" fontId="14" fillId="0" borderId="0" xfId="19" applyNumberFormat="1">
      <alignment/>
      <protection/>
    </xf>
    <xf numFmtId="184" fontId="14" fillId="0" borderId="0" xfId="0" applyNumberFormat="1" applyFont="1" applyBorder="1" applyAlignment="1">
      <alignment/>
    </xf>
    <xf numFmtId="3" fontId="14" fillId="0" borderId="0" xfId="0" applyNumberFormat="1" applyFont="1" applyBorder="1" applyAlignment="1">
      <alignment/>
    </xf>
    <xf numFmtId="184" fontId="14" fillId="0" borderId="0" xfId="19" applyNumberFormat="1" applyFont="1" applyBorder="1">
      <alignment/>
      <protection/>
    </xf>
    <xf numFmtId="184" fontId="14" fillId="0" borderId="0" xfId="19" applyNumberFormat="1" applyFont="1" applyBorder="1" applyAlignment="1">
      <alignment vertical="top"/>
      <protection/>
    </xf>
    <xf numFmtId="43" fontId="14" fillId="0" borderId="0" xfId="0" applyNumberFormat="1" applyFont="1" applyBorder="1" applyAlignment="1">
      <alignment/>
    </xf>
    <xf numFmtId="179" fontId="54" fillId="0" borderId="0" xfId="0" applyFont="1" applyAlignment="1">
      <alignment horizontal="left"/>
    </xf>
    <xf numFmtId="0" fontId="53" fillId="0" borderId="0" xfId="19" applyFont="1">
      <alignment/>
      <protection/>
    </xf>
    <xf numFmtId="184" fontId="53" fillId="0" borderId="0" xfId="0" applyNumberFormat="1" applyFont="1" applyBorder="1" applyAlignment="1">
      <alignment/>
    </xf>
    <xf numFmtId="184" fontId="21" fillId="0" borderId="0" xfId="0" applyNumberFormat="1" applyFont="1" applyAlignment="1">
      <alignment/>
    </xf>
    <xf numFmtId="0" fontId="53" fillId="0" borderId="0" xfId="19" applyFont="1" applyFill="1">
      <alignment/>
      <protection/>
    </xf>
    <xf numFmtId="179" fontId="55" fillId="0" borderId="0" xfId="0" applyFont="1" applyAlignment="1">
      <alignment horizontal="left"/>
    </xf>
    <xf numFmtId="179" fontId="55" fillId="0" borderId="0" xfId="0" applyFont="1" applyAlignment="1">
      <alignment/>
    </xf>
    <xf numFmtId="184" fontId="21" fillId="0" borderId="0" xfId="0" applyNumberFormat="1" applyFont="1" applyBorder="1" applyAlignment="1">
      <alignment/>
    </xf>
    <xf numFmtId="179" fontId="53" fillId="0" borderId="0" xfId="0" applyFont="1" applyAlignment="1">
      <alignment/>
    </xf>
    <xf numFmtId="41" fontId="53" fillId="0" borderId="0" xfId="19" applyNumberFormat="1" applyFont="1" applyBorder="1">
      <alignment/>
      <protection/>
    </xf>
    <xf numFmtId="0" fontId="53" fillId="0" borderId="0" xfId="19" applyFont="1" applyAlignment="1">
      <alignment vertical="top"/>
      <protection/>
    </xf>
    <xf numFmtId="179" fontId="56" fillId="0" borderId="0" xfId="0" applyFont="1" applyAlignment="1">
      <alignment/>
    </xf>
    <xf numFmtId="184" fontId="55" fillId="0" borderId="0" xfId="0" applyNumberFormat="1" applyFont="1" applyAlignment="1">
      <alignment/>
    </xf>
    <xf numFmtId="15" fontId="14" fillId="0" borderId="4" xfId="0" applyNumberFormat="1" applyFont="1" applyBorder="1" applyAlignment="1">
      <alignment/>
    </xf>
    <xf numFmtId="1" fontId="14" fillId="0" borderId="4" xfId="0" applyNumberFormat="1" applyFont="1" applyBorder="1" applyAlignment="1">
      <alignment/>
    </xf>
    <xf numFmtId="39" fontId="53" fillId="0" borderId="4" xfId="0" applyNumberFormat="1" applyFont="1" applyBorder="1" applyAlignment="1">
      <alignment/>
    </xf>
    <xf numFmtId="0" fontId="14" fillId="0" borderId="0" xfId="19" applyFont="1" applyAlignment="1">
      <alignment/>
      <protection/>
    </xf>
    <xf numFmtId="0" fontId="14" fillId="0" borderId="0" xfId="19" applyFont="1" applyAlignment="1">
      <alignment horizontal="center" vertical="top"/>
      <protection/>
    </xf>
    <xf numFmtId="41" fontId="14" fillId="0" borderId="0" xfId="19" applyNumberFormat="1" applyFont="1">
      <alignment/>
      <protection/>
    </xf>
    <xf numFmtId="0" fontId="30" fillId="0" borderId="0" xfId="19" applyFont="1" applyAlignment="1">
      <alignment horizontal="center"/>
      <protection/>
    </xf>
    <xf numFmtId="49" fontId="6" fillId="0" borderId="0" xfId="0" applyNumberFormat="1" applyFont="1" applyAlignment="1">
      <alignment horizontal="center"/>
    </xf>
    <xf numFmtId="179" fontId="0" fillId="0" borderId="0" xfId="0" applyAlignment="1">
      <alignment/>
    </xf>
    <xf numFmtId="0" fontId="6" fillId="0" borderId="0" xfId="0" applyNumberFormat="1" applyFont="1" applyAlignment="1">
      <alignment horizontal="center"/>
    </xf>
    <xf numFmtId="3" fontId="6" fillId="0" borderId="0" xfId="0" applyNumberFormat="1" applyFont="1" applyAlignment="1">
      <alignment horizontal="center"/>
    </xf>
    <xf numFmtId="179" fontId="6" fillId="0" borderId="0" xfId="0" applyFont="1" applyAlignment="1">
      <alignment horizontal="center"/>
    </xf>
    <xf numFmtId="3" fontId="8" fillId="0" borderId="0" xfId="0" applyNumberFormat="1" applyFont="1" applyAlignment="1">
      <alignment horizontal="center"/>
    </xf>
    <xf numFmtId="0" fontId="8" fillId="0" borderId="0" xfId="0" applyNumberFormat="1" applyFont="1" applyAlignment="1">
      <alignment horizontal="center"/>
    </xf>
    <xf numFmtId="179" fontId="0" fillId="0" borderId="0" xfId="0" applyAlignment="1">
      <alignment horizontal="center"/>
    </xf>
    <xf numFmtId="179" fontId="10" fillId="0" borderId="0" xfId="0" applyFont="1" applyAlignment="1">
      <alignment/>
    </xf>
    <xf numFmtId="179" fontId="1" fillId="0" borderId="3" xfId="0" applyFont="1" applyFill="1" applyBorder="1" applyAlignment="1">
      <alignment horizontal="center"/>
    </xf>
    <xf numFmtId="179" fontId="8" fillId="0" borderId="0" xfId="0" applyFont="1" applyFill="1" applyAlignment="1">
      <alignment horizontal="center"/>
    </xf>
    <xf numFmtId="179" fontId="30" fillId="0" borderId="0" xfId="0" applyFont="1" applyFill="1" applyAlignment="1">
      <alignment horizontal="center"/>
    </xf>
    <xf numFmtId="3" fontId="30" fillId="0" borderId="0" xfId="0" applyNumberFormat="1" applyFont="1" applyAlignment="1">
      <alignment horizontal="center"/>
    </xf>
    <xf numFmtId="179" fontId="40" fillId="0" borderId="0" xfId="0" applyFont="1" applyAlignment="1">
      <alignment horizontal="center"/>
    </xf>
    <xf numFmtId="179" fontId="10" fillId="0" borderId="0" xfId="0" applyFont="1" applyAlignment="1">
      <alignment horizontal="center"/>
    </xf>
    <xf numFmtId="179" fontId="30" fillId="0" borderId="0" xfId="0" applyFont="1" applyAlignment="1">
      <alignment horizontal="center"/>
    </xf>
    <xf numFmtId="179" fontId="36" fillId="0" borderId="0" xfId="0" applyFont="1" applyAlignment="1">
      <alignment horizontal="center"/>
    </xf>
    <xf numFmtId="179" fontId="37" fillId="0" borderId="0" xfId="0" applyFont="1" applyAlignment="1">
      <alignment/>
    </xf>
    <xf numFmtId="0" fontId="22" fillId="0" borderId="0" xfId="19" applyFont="1" applyFill="1" applyBorder="1" applyAlignment="1">
      <alignment horizontal="left" wrapText="1"/>
      <protection/>
    </xf>
    <xf numFmtId="0" fontId="14" fillId="0" borderId="0" xfId="19" applyAlignment="1">
      <alignment/>
      <protection/>
    </xf>
    <xf numFmtId="0" fontId="22" fillId="0" borderId="0" xfId="19" applyFont="1" applyAlignment="1">
      <alignment wrapText="1"/>
      <protection/>
    </xf>
    <xf numFmtId="0" fontId="14" fillId="0" borderId="0" xfId="19" applyAlignment="1">
      <alignment wrapText="1"/>
      <protection/>
    </xf>
    <xf numFmtId="179" fontId="30" fillId="0" borderId="0" xfId="19" applyNumberFormat="1" applyFont="1" applyAlignment="1">
      <alignment horizontal="center"/>
      <protection/>
    </xf>
    <xf numFmtId="0" fontId="27" fillId="0" borderId="0" xfId="19" applyFont="1" applyAlignment="1">
      <alignment horizontal="left"/>
      <protection/>
    </xf>
    <xf numFmtId="179" fontId="26" fillId="0" borderId="0" xfId="0" applyFont="1" applyAlignment="1">
      <alignment/>
    </xf>
  </cellXfs>
  <cellStyles count="9">
    <cellStyle name="Normal" xfId="0"/>
    <cellStyle name="Comma" xfId="15"/>
    <cellStyle name="Comma [0]" xfId="16"/>
    <cellStyle name="Currency" xfId="17"/>
    <cellStyle name="Currency [0]" xfId="18"/>
    <cellStyle name="Normal_ADITAnalysisID090805" xfId="19"/>
    <cellStyle name="Normal_FN1 Ratebase Draft SPP template (6-11-04) v2"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242"/>
  <sheetViews>
    <sheetView tabSelected="1" view="pageBreakPreview" zoomScale="65" zoomScaleNormal="60" zoomScaleSheetLayoutView="65" workbookViewId="0" topLeftCell="A1">
      <selection activeCell="A1" sqref="A1"/>
    </sheetView>
  </sheetViews>
  <sheetFormatPr defaultColWidth="8.88671875" defaultRowHeight="15"/>
  <cols>
    <col min="1" max="1" width="6.77734375" style="0" customWidth="1"/>
    <col min="2" max="2" width="3.77734375" style="0" customWidth="1"/>
    <col min="3" max="3" width="31.77734375" style="0" customWidth="1"/>
    <col min="4" max="4" width="40.5546875" style="0" customWidth="1"/>
    <col min="5" max="5" width="13.77734375" style="0" customWidth="1"/>
    <col min="6" max="6" width="14.77734375" style="0" customWidth="1"/>
    <col min="7" max="7" width="5.77734375" style="0" customWidth="1"/>
    <col min="8" max="8" width="12.77734375" style="0" customWidth="1"/>
    <col min="9" max="9" width="3.77734375" style="0" customWidth="1"/>
    <col min="10" max="10" width="13.77734375" style="0" customWidth="1"/>
    <col min="11" max="11" width="3.77734375" style="0" customWidth="1"/>
    <col min="12" max="12" width="6.77734375" style="0" customWidth="1"/>
    <col min="13" max="13" width="1.88671875" style="0" customWidth="1"/>
    <col min="14" max="14" width="11.3359375" style="0" customWidth="1"/>
  </cols>
  <sheetData>
    <row r="1" spans="3:63" ht="15">
      <c r="C1" s="48"/>
      <c r="D1" s="511" t="s">
        <v>71</v>
      </c>
      <c r="E1" s="510"/>
      <c r="F1" s="510"/>
      <c r="G1" s="48"/>
      <c r="H1" s="48"/>
      <c r="J1" s="172" t="s">
        <v>105</v>
      </c>
      <c r="K1" s="16"/>
      <c r="L1" s="16"/>
      <c r="M1" s="128"/>
      <c r="N1" s="128"/>
      <c r="O1" s="128"/>
      <c r="P1" s="128"/>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row>
    <row r="2" spans="3:63" ht="15">
      <c r="C2" s="48"/>
      <c r="D2" s="512" t="s">
        <v>469</v>
      </c>
      <c r="E2" s="510"/>
      <c r="F2" s="510"/>
      <c r="G2" s="21"/>
      <c r="H2" s="21"/>
      <c r="J2" s="172" t="s">
        <v>387</v>
      </c>
      <c r="K2" s="16"/>
      <c r="L2" s="16"/>
      <c r="M2" s="128"/>
      <c r="N2" s="128"/>
      <c r="O2" s="128"/>
      <c r="P2" s="128"/>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row>
    <row r="3" spans="3:63" ht="15">
      <c r="C3" s="16"/>
      <c r="D3" s="511" t="s">
        <v>780</v>
      </c>
      <c r="E3" s="510"/>
      <c r="F3" s="510"/>
      <c r="G3" s="16"/>
      <c r="H3" s="16"/>
      <c r="J3" s="391" t="s">
        <v>339</v>
      </c>
      <c r="K3" s="16"/>
      <c r="L3" s="16"/>
      <c r="M3" s="128"/>
      <c r="N3" s="128"/>
      <c r="O3" s="128"/>
      <c r="P3" s="128"/>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row>
    <row r="4" spans="3:63" ht="15">
      <c r="C4" s="16"/>
      <c r="D4" s="16"/>
      <c r="E4" s="50"/>
      <c r="F4" s="16"/>
      <c r="G4" s="16"/>
      <c r="H4" s="16"/>
      <c r="K4" s="16"/>
      <c r="L4" s="16"/>
      <c r="M4" s="128"/>
      <c r="N4" s="128"/>
      <c r="O4" s="128"/>
      <c r="P4" s="128"/>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row>
    <row r="5" spans="1:63" ht="15">
      <c r="A5" s="67"/>
      <c r="C5" s="16"/>
      <c r="D5" s="509" t="s">
        <v>278</v>
      </c>
      <c r="E5" s="510"/>
      <c r="F5" s="510"/>
      <c r="G5" s="16"/>
      <c r="H5" s="16"/>
      <c r="I5" s="49"/>
      <c r="K5" s="16"/>
      <c r="L5" s="16"/>
      <c r="M5" s="128"/>
      <c r="N5" s="128"/>
      <c r="O5" s="128"/>
      <c r="P5" s="128"/>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row>
    <row r="6" spans="1:63" ht="15">
      <c r="A6" s="67"/>
      <c r="C6" s="16"/>
      <c r="D6" s="509" t="s">
        <v>386</v>
      </c>
      <c r="E6" s="510"/>
      <c r="F6" s="510"/>
      <c r="G6" s="16"/>
      <c r="H6" s="16"/>
      <c r="I6" s="16"/>
      <c r="J6" s="16"/>
      <c r="K6" s="16"/>
      <c r="L6" s="16"/>
      <c r="M6" s="128"/>
      <c r="N6" s="128"/>
      <c r="O6" s="128"/>
      <c r="P6" s="128"/>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row>
    <row r="7" spans="1:63" ht="15">
      <c r="A7" s="67" t="s">
        <v>106</v>
      </c>
      <c r="C7" s="16"/>
      <c r="D7" s="16"/>
      <c r="E7" s="38"/>
      <c r="F7" s="16"/>
      <c r="G7" s="16"/>
      <c r="H7" s="16"/>
      <c r="I7" s="16"/>
      <c r="J7" s="50" t="s">
        <v>109</v>
      </c>
      <c r="K7" s="16"/>
      <c r="L7" s="16"/>
      <c r="M7" s="128"/>
      <c r="N7" s="128"/>
      <c r="O7" s="128"/>
      <c r="P7" s="128"/>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row>
    <row r="8" spans="1:63" ht="15" thickBot="1">
      <c r="A8" s="68" t="s">
        <v>110</v>
      </c>
      <c r="E8" s="16"/>
      <c r="F8" s="16"/>
      <c r="G8" s="16"/>
      <c r="H8" s="16"/>
      <c r="I8" s="16"/>
      <c r="J8" s="58" t="s">
        <v>111</v>
      </c>
      <c r="K8" s="16"/>
      <c r="L8" s="16"/>
      <c r="M8" s="128"/>
      <c r="N8" s="128"/>
      <c r="O8" s="128"/>
      <c r="P8" s="128"/>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row>
    <row r="9" spans="1:63" ht="15">
      <c r="A9" s="67">
        <v>1</v>
      </c>
      <c r="C9" s="16" t="s">
        <v>385</v>
      </c>
      <c r="D9" s="110" t="s">
        <v>44</v>
      </c>
      <c r="E9" s="17"/>
      <c r="F9" s="16"/>
      <c r="G9" s="16"/>
      <c r="H9" s="16"/>
      <c r="I9" s="16"/>
      <c r="J9" s="54">
        <f>+WEN!J106+WES!J105</f>
        <v>145066393.5664791</v>
      </c>
      <c r="K9" s="16"/>
      <c r="L9" s="16"/>
      <c r="M9" s="128"/>
      <c r="N9" s="128"/>
      <c r="O9" s="128"/>
      <c r="P9" s="128"/>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row>
    <row r="10" spans="1:63" ht="15">
      <c r="A10" s="67"/>
      <c r="C10" s="16"/>
      <c r="D10" s="16"/>
      <c r="E10" s="16"/>
      <c r="F10" s="16"/>
      <c r="G10" s="16"/>
      <c r="H10" s="16"/>
      <c r="I10" s="16"/>
      <c r="J10" s="17"/>
      <c r="K10" s="16"/>
      <c r="L10" s="16"/>
      <c r="M10" s="128"/>
      <c r="N10" s="128"/>
      <c r="O10" s="128"/>
      <c r="P10" s="128"/>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row>
    <row r="11" spans="1:63" ht="15" thickBot="1">
      <c r="A11" s="67" t="s">
        <v>105</v>
      </c>
      <c r="C11" s="18" t="s">
        <v>112</v>
      </c>
      <c r="D11" s="55"/>
      <c r="E11" s="58" t="s">
        <v>113</v>
      </c>
      <c r="F11" s="21"/>
      <c r="G11" s="69" t="s">
        <v>114</v>
      </c>
      <c r="H11" s="69"/>
      <c r="I11" s="16"/>
      <c r="J11" s="17"/>
      <c r="K11" s="16"/>
      <c r="L11" s="16"/>
      <c r="M11" s="128"/>
      <c r="N11" s="128"/>
      <c r="O11" s="128"/>
      <c r="P11" s="128"/>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row>
    <row r="12" spans="1:63" ht="15.75">
      <c r="A12" s="67">
        <v>2</v>
      </c>
      <c r="C12" s="18" t="s">
        <v>116</v>
      </c>
      <c r="D12" s="55" t="s">
        <v>18</v>
      </c>
      <c r="E12" s="95">
        <f>+'Worksheet A'!K60+'Worksheet A'!R60</f>
        <v>4047455.095574</v>
      </c>
      <c r="F12" s="21"/>
      <c r="G12" s="21" t="s">
        <v>774</v>
      </c>
      <c r="H12" s="152">
        <f>+J54</f>
        <v>0.9999154676867714</v>
      </c>
      <c r="I12" s="21"/>
      <c r="J12" s="21">
        <f>+E12*H12</f>
        <v>4047112.954832082</v>
      </c>
      <c r="K12" s="16"/>
      <c r="L12" s="16"/>
      <c r="M12" s="128"/>
      <c r="N12" s="128"/>
      <c r="O12" s="128"/>
      <c r="P12" s="128"/>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row>
    <row r="13" spans="1:63" ht="15">
      <c r="A13" s="67">
        <v>3</v>
      </c>
      <c r="C13" s="16" t="s">
        <v>772</v>
      </c>
      <c r="D13" s="16"/>
      <c r="E13" s="55">
        <f>+'Worksheet A'!E21</f>
        <v>65524225.97000002</v>
      </c>
      <c r="F13" s="21"/>
      <c r="G13" s="21" t="str">
        <f>+G12</f>
        <v>WTP</v>
      </c>
      <c r="H13" s="36">
        <f>+H12</f>
        <v>0.9999154676867714</v>
      </c>
      <c r="I13" s="21"/>
      <c r="J13" s="21">
        <f>+H13*E13</f>
        <v>65518687.05560627</v>
      </c>
      <c r="K13" s="16"/>
      <c r="L13" s="16"/>
      <c r="M13" s="128"/>
      <c r="N13" s="128"/>
      <c r="O13" s="128"/>
      <c r="P13" s="128"/>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row>
    <row r="14" spans="1:63" ht="15">
      <c r="A14" s="67">
        <v>4</v>
      </c>
      <c r="C14" s="56" t="s">
        <v>472</v>
      </c>
      <c r="D14" s="21"/>
      <c r="E14" s="91">
        <f>+'Worksheet A'!G78</f>
        <v>0</v>
      </c>
      <c r="F14" s="21"/>
      <c r="G14" s="21" t="str">
        <f>+G13</f>
        <v>WTP</v>
      </c>
      <c r="H14" s="36">
        <f>+H12</f>
        <v>0.9999154676867714</v>
      </c>
      <c r="I14" s="21"/>
      <c r="J14" s="21">
        <f>+H14*E14</f>
        <v>0</v>
      </c>
      <c r="K14" s="16"/>
      <c r="L14" s="16"/>
      <c r="M14" s="128"/>
      <c r="N14" s="128"/>
      <c r="O14" s="128"/>
      <c r="P14" s="128"/>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row>
    <row r="15" spans="1:63" ht="15.75" thickBot="1">
      <c r="A15" s="67">
        <v>5</v>
      </c>
      <c r="C15" s="56" t="s">
        <v>473</v>
      </c>
      <c r="D15" s="21"/>
      <c r="E15" s="91">
        <f>+'Worksheet A'!G82</f>
        <v>0</v>
      </c>
      <c r="F15" s="21"/>
      <c r="G15" s="21" t="str">
        <f>+G14</f>
        <v>WTP</v>
      </c>
      <c r="H15" s="36">
        <f>+H12</f>
        <v>0.9999154676867714</v>
      </c>
      <c r="I15" s="21"/>
      <c r="J15" s="61">
        <f>+H15*E15</f>
        <v>0</v>
      </c>
      <c r="K15" s="16"/>
      <c r="L15" s="16"/>
      <c r="M15" s="128"/>
      <c r="N15" s="128"/>
      <c r="O15" s="128"/>
      <c r="P15" s="128"/>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row>
    <row r="16" spans="1:63" ht="15">
      <c r="A16" s="67">
        <v>6</v>
      </c>
      <c r="C16" s="18" t="s">
        <v>242</v>
      </c>
      <c r="D16" s="16"/>
      <c r="E16" s="33" t="s">
        <v>105</v>
      </c>
      <c r="F16" s="21"/>
      <c r="G16" s="21"/>
      <c r="H16" s="36"/>
      <c r="I16" s="21"/>
      <c r="J16" s="21">
        <f>SUM(J12:J15)</f>
        <v>69565800.01043835</v>
      </c>
      <c r="K16" s="16"/>
      <c r="L16" s="16"/>
      <c r="M16" s="128"/>
      <c r="N16" s="128"/>
      <c r="O16" s="128"/>
      <c r="P16" s="128"/>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row>
    <row r="17" spans="1:63" ht="15">
      <c r="A17" s="67"/>
      <c r="D17" s="16"/>
      <c r="E17" s="21" t="s">
        <v>105</v>
      </c>
      <c r="F17" s="16"/>
      <c r="G17" s="16"/>
      <c r="H17" s="36"/>
      <c r="I17" s="16"/>
      <c r="K17" s="16"/>
      <c r="L17" s="16"/>
      <c r="M17" s="128"/>
      <c r="N17" s="128"/>
      <c r="O17" s="128"/>
      <c r="P17" s="128"/>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row>
    <row r="18" spans="1:63" ht="15" thickBot="1">
      <c r="A18" s="67">
        <v>7</v>
      </c>
      <c r="C18" s="18" t="s">
        <v>117</v>
      </c>
      <c r="D18" s="16" t="s">
        <v>248</v>
      </c>
      <c r="E18" s="33" t="s">
        <v>105</v>
      </c>
      <c r="F18" s="21"/>
      <c r="G18" s="21"/>
      <c r="H18" s="21"/>
      <c r="I18" s="21"/>
      <c r="J18" s="70">
        <f>+J9-J16</f>
        <v>75500593.55604073</v>
      </c>
      <c r="K18" s="16"/>
      <c r="L18" s="16" t="s">
        <v>105</v>
      </c>
      <c r="M18" s="128"/>
      <c r="N18" s="128"/>
      <c r="O18" s="128"/>
      <c r="P18" s="128"/>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row>
    <row r="19" spans="1:63" ht="15" thickTop="1">
      <c r="A19" s="67"/>
      <c r="D19" s="16"/>
      <c r="E19" s="33"/>
      <c r="F19" s="21"/>
      <c r="G19" s="21"/>
      <c r="H19" s="21"/>
      <c r="I19" s="21"/>
      <c r="K19" s="16"/>
      <c r="L19" s="16"/>
      <c r="M19" s="128"/>
      <c r="N19" s="128"/>
      <c r="O19" s="128"/>
      <c r="P19" s="128"/>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row>
    <row r="20" spans="1:63" ht="15">
      <c r="A20" s="67"/>
      <c r="D20" s="21"/>
      <c r="E20" s="28"/>
      <c r="F20" s="28"/>
      <c r="G20" s="28"/>
      <c r="H20" s="28"/>
      <c r="I20" s="28"/>
      <c r="J20" s="21"/>
      <c r="K20" s="16"/>
      <c r="L20" s="16"/>
      <c r="M20" s="128"/>
      <c r="N20" s="128"/>
      <c r="O20" s="128"/>
      <c r="P20" s="128"/>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row>
    <row r="21" spans="1:63" ht="15">
      <c r="A21" s="67"/>
      <c r="C21" s="18" t="s">
        <v>118</v>
      </c>
      <c r="D21" s="16"/>
      <c r="E21" s="17"/>
      <c r="F21" s="16"/>
      <c r="G21" s="16"/>
      <c r="H21" s="16"/>
      <c r="I21" s="16"/>
      <c r="J21" s="17"/>
      <c r="K21" s="16"/>
      <c r="L21" s="16"/>
      <c r="M21" s="128"/>
      <c r="N21" s="128"/>
      <c r="O21" s="128"/>
      <c r="P21" s="128"/>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row>
    <row r="22" spans="1:63" ht="15">
      <c r="A22" s="67">
        <v>8</v>
      </c>
      <c r="C22" s="175" t="s">
        <v>61</v>
      </c>
      <c r="D22" s="111"/>
      <c r="E22" s="17"/>
      <c r="F22" s="16"/>
      <c r="G22" s="16"/>
      <c r="H22" s="363" t="s">
        <v>19</v>
      </c>
      <c r="I22" s="16"/>
      <c r="J22" s="275"/>
      <c r="K22" s="16"/>
      <c r="L22" s="16"/>
      <c r="M22" s="128"/>
      <c r="O22" s="128"/>
      <c r="P22" s="128"/>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row>
    <row r="23" spans="1:63" ht="15" thickBot="1">
      <c r="A23" s="67">
        <v>9</v>
      </c>
      <c r="C23" s="443" t="s">
        <v>63</v>
      </c>
      <c r="D23" s="442"/>
      <c r="E23" s="21"/>
      <c r="F23" s="21"/>
      <c r="G23" s="21"/>
      <c r="H23" s="363" t="s">
        <v>766</v>
      </c>
      <c r="I23" s="21"/>
      <c r="J23" s="365">
        <f>'Worksheet B'!L23*1000</f>
        <v>4171110.083333334</v>
      </c>
      <c r="K23" s="16"/>
      <c r="L23" s="16"/>
      <c r="M23" s="128"/>
      <c r="O23" s="128"/>
      <c r="P23" s="128"/>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row>
    <row r="24" spans="1:63" ht="15">
      <c r="A24" s="67">
        <v>10</v>
      </c>
      <c r="C24" s="48" t="s">
        <v>388</v>
      </c>
      <c r="D24" s="16"/>
      <c r="E24" s="16"/>
      <c r="F24" s="16"/>
      <c r="G24" s="16"/>
      <c r="H24" s="16"/>
      <c r="I24" s="16"/>
      <c r="J24" s="17">
        <f>J23</f>
        <v>4171110.083333334</v>
      </c>
      <c r="K24" s="16"/>
      <c r="L24" s="16"/>
      <c r="M24" s="128"/>
      <c r="N24" s="128"/>
      <c r="O24" s="128"/>
      <c r="P24" s="128"/>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row>
    <row r="25" spans="1:63" ht="15">
      <c r="A25" s="67"/>
      <c r="C25" s="18"/>
      <c r="D25" s="16"/>
      <c r="E25" s="16"/>
      <c r="F25" s="16"/>
      <c r="G25" s="16"/>
      <c r="H25" s="16"/>
      <c r="I25" s="16"/>
      <c r="J25" s="17"/>
      <c r="K25" s="16"/>
      <c r="L25" s="16"/>
      <c r="M25" s="128"/>
      <c r="N25" s="128"/>
      <c r="O25" s="128"/>
      <c r="P25" s="128"/>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row>
    <row r="26" spans="1:63" ht="15">
      <c r="A26" s="67">
        <v>11</v>
      </c>
      <c r="C26" s="18" t="s">
        <v>119</v>
      </c>
      <c r="D26" s="16" t="s">
        <v>389</v>
      </c>
      <c r="E26" s="42">
        <f>IF(J24&gt;0,J18/J24,0)</f>
        <v>18.100839356343382</v>
      </c>
      <c r="F26" s="16"/>
      <c r="G26" s="16"/>
      <c r="H26" s="16"/>
      <c r="I26" s="16"/>
      <c r="J26" s="28"/>
      <c r="K26" s="16"/>
      <c r="L26" s="16"/>
      <c r="M26" s="128"/>
      <c r="N26" s="128"/>
      <c r="O26" s="128"/>
      <c r="P26" s="128"/>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row>
    <row r="27" spans="1:63" ht="15">
      <c r="A27" s="67">
        <v>12</v>
      </c>
      <c r="C27" s="121" t="s">
        <v>27</v>
      </c>
      <c r="D27" s="16" t="s">
        <v>390</v>
      </c>
      <c r="E27" s="42">
        <f>+E26/12</f>
        <v>1.5084032796952818</v>
      </c>
      <c r="F27" s="16"/>
      <c r="G27" s="16"/>
      <c r="H27" s="16"/>
      <c r="I27" s="16"/>
      <c r="J27" s="28"/>
      <c r="K27" s="16"/>
      <c r="L27" s="16"/>
      <c r="M27" s="128"/>
      <c r="N27" s="128"/>
      <c r="O27" s="128"/>
      <c r="P27" s="128"/>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row>
    <row r="28" spans="1:63" ht="15">
      <c r="A28" s="67"/>
      <c r="C28" s="18"/>
      <c r="D28" s="16"/>
      <c r="E28" s="42"/>
      <c r="F28" s="16"/>
      <c r="G28" s="16"/>
      <c r="H28" s="16"/>
      <c r="I28" s="16"/>
      <c r="J28" s="28"/>
      <c r="K28" s="16"/>
      <c r="L28" s="16"/>
      <c r="M28" s="128"/>
      <c r="N28" s="128"/>
      <c r="O28" s="128"/>
      <c r="P28" s="128"/>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row>
    <row r="29" spans="1:63" ht="15">
      <c r="A29" s="67"/>
      <c r="C29" s="18"/>
      <c r="D29" s="16"/>
      <c r="E29" s="43" t="s">
        <v>120</v>
      </c>
      <c r="F29" s="16"/>
      <c r="G29" s="16"/>
      <c r="H29" s="16"/>
      <c r="I29" s="16"/>
      <c r="J29" s="35" t="s">
        <v>121</v>
      </c>
      <c r="K29" s="16"/>
      <c r="L29" s="16"/>
      <c r="M29" s="128"/>
      <c r="N29" s="128"/>
      <c r="O29" s="128"/>
      <c r="P29" s="128"/>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row>
    <row r="30" spans="1:63" ht="15">
      <c r="A30" s="67">
        <v>13</v>
      </c>
      <c r="C30" s="18" t="s">
        <v>122</v>
      </c>
      <c r="D30" s="19" t="s">
        <v>391</v>
      </c>
      <c r="E30" s="42">
        <f>+E26/52</f>
        <v>0.34809306454506506</v>
      </c>
      <c r="F30" s="16"/>
      <c r="G30" s="16"/>
      <c r="H30" s="16"/>
      <c r="I30" s="16"/>
      <c r="J30" s="44">
        <f>+E26/52</f>
        <v>0.34809306454506506</v>
      </c>
      <c r="K30" s="16"/>
      <c r="L30" s="16"/>
      <c r="M30" s="128"/>
      <c r="N30" s="128"/>
      <c r="O30" s="128"/>
      <c r="P30" s="128"/>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row>
    <row r="31" spans="1:63" ht="15">
      <c r="A31" s="67">
        <v>14</v>
      </c>
      <c r="C31" s="18" t="s">
        <v>123</v>
      </c>
      <c r="D31" s="19" t="s">
        <v>392</v>
      </c>
      <c r="E31" s="42">
        <f>+E30/5</f>
        <v>0.06961861290901301</v>
      </c>
      <c r="F31" s="16" t="s">
        <v>124</v>
      </c>
      <c r="G31" s="28"/>
      <c r="H31" s="16"/>
      <c r="I31" s="16"/>
      <c r="J31" s="44">
        <f>+J30/7</f>
        <v>0.04972758064929501</v>
      </c>
      <c r="K31" s="16"/>
      <c r="L31" s="16"/>
      <c r="M31" s="128"/>
      <c r="N31" s="128"/>
      <c r="O31" s="128"/>
      <c r="P31" s="128"/>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row>
    <row r="32" spans="1:63" ht="15">
      <c r="A32" s="67">
        <v>15</v>
      </c>
      <c r="C32" s="18" t="s">
        <v>125</v>
      </c>
      <c r="D32" s="19" t="s">
        <v>393</v>
      </c>
      <c r="E32" s="42">
        <f>+E31/16*1000</f>
        <v>4.351163306813313</v>
      </c>
      <c r="F32" s="16" t="s">
        <v>126</v>
      </c>
      <c r="G32" s="28"/>
      <c r="H32" s="16"/>
      <c r="I32" s="16"/>
      <c r="J32" s="44">
        <f>+J31/24*1000</f>
        <v>2.0719825270539585</v>
      </c>
      <c r="K32" s="16"/>
      <c r="L32" s="16" t="s">
        <v>105</v>
      </c>
      <c r="M32" s="128"/>
      <c r="N32" s="128"/>
      <c r="O32" s="128"/>
      <c r="P32" s="128"/>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row>
    <row r="33" spans="1:63" ht="15">
      <c r="A33" s="67"/>
      <c r="C33" s="18"/>
      <c r="D33" s="16" t="s">
        <v>127</v>
      </c>
      <c r="E33" s="16"/>
      <c r="F33" s="16" t="s">
        <v>128</v>
      </c>
      <c r="G33" s="28"/>
      <c r="H33" s="16"/>
      <c r="I33" s="16"/>
      <c r="J33" s="28"/>
      <c r="K33" s="16"/>
      <c r="L33" s="16" t="s">
        <v>105</v>
      </c>
      <c r="M33" s="128"/>
      <c r="N33" s="128"/>
      <c r="O33" s="128"/>
      <c r="P33" s="128"/>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row>
    <row r="34" spans="1:63" ht="15">
      <c r="A34" s="67"/>
      <c r="C34" s="18"/>
      <c r="D34" s="16"/>
      <c r="E34" s="16"/>
      <c r="F34" s="16"/>
      <c r="G34" s="28"/>
      <c r="H34" s="16"/>
      <c r="I34" s="16"/>
      <c r="J34" s="28"/>
      <c r="K34" s="16"/>
      <c r="L34" s="16" t="s">
        <v>105</v>
      </c>
      <c r="M34" s="128"/>
      <c r="N34" s="128"/>
      <c r="O34" s="128"/>
      <c r="P34" s="128"/>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row>
    <row r="35" spans="1:63" ht="15">
      <c r="A35" s="67">
        <v>16</v>
      </c>
      <c r="C35" s="18" t="s">
        <v>129</v>
      </c>
      <c r="D35" s="16" t="s">
        <v>64</v>
      </c>
      <c r="F35" s="64"/>
      <c r="G35" s="64"/>
      <c r="H35" s="64"/>
      <c r="I35" s="64"/>
      <c r="J35" s="90">
        <f>343790/6743049</f>
        <v>0.05098435440703456</v>
      </c>
      <c r="K35" s="64" t="s">
        <v>105</v>
      </c>
      <c r="L35" s="16"/>
      <c r="M35" s="128"/>
      <c r="N35" s="128"/>
      <c r="O35" s="128"/>
      <c r="P35" s="128"/>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row>
    <row r="36" spans="11:63" ht="15">
      <c r="K36" s="65"/>
      <c r="L36" s="16"/>
      <c r="M36" s="128"/>
      <c r="N36" s="128"/>
      <c r="O36" s="128"/>
      <c r="P36" s="128"/>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row>
    <row r="37" spans="1:63" ht="15">
      <c r="A37" s="67">
        <v>17</v>
      </c>
      <c r="C37" t="s">
        <v>326</v>
      </c>
      <c r="D37" t="s">
        <v>356</v>
      </c>
      <c r="J37" s="155">
        <f>+WEN!J30+WES!J30</f>
        <v>363375095.7537385</v>
      </c>
      <c r="K37" s="65"/>
      <c r="L37" s="16"/>
      <c r="M37" s="128"/>
      <c r="N37" s="128"/>
      <c r="O37" s="157" t="s">
        <v>105</v>
      </c>
      <c r="P37" s="128"/>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row>
    <row r="38" spans="3:63" ht="15">
      <c r="C38" s="18" t="s">
        <v>105</v>
      </c>
      <c r="D38" s="16"/>
      <c r="E38" s="16" t="s">
        <v>130</v>
      </c>
      <c r="F38" s="16"/>
      <c r="G38" s="16"/>
      <c r="H38" s="16"/>
      <c r="I38" s="16"/>
      <c r="J38" s="45" t="s">
        <v>105</v>
      </c>
      <c r="K38" s="16"/>
      <c r="L38" s="16"/>
      <c r="M38" s="128"/>
      <c r="N38" s="128"/>
      <c r="O38" s="128"/>
      <c r="P38" s="128"/>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row>
    <row r="39" spans="1:63" ht="15">
      <c r="A39" s="67">
        <v>18</v>
      </c>
      <c r="C39" s="18" t="s">
        <v>327</v>
      </c>
      <c r="D39" s="16" t="s">
        <v>217</v>
      </c>
      <c r="E39" s="16"/>
      <c r="F39" s="16"/>
      <c r="G39" s="16"/>
      <c r="H39" s="16"/>
      <c r="I39" s="16"/>
      <c r="J39" s="156">
        <f>+J18/J37</f>
        <v>0.20777591650696925</v>
      </c>
      <c r="K39" s="16"/>
      <c r="L39" s="16"/>
      <c r="M39" s="128"/>
      <c r="N39" s="128"/>
      <c r="O39" s="128"/>
      <c r="P39" s="128"/>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row>
    <row r="40" spans="3:63" ht="15">
      <c r="C40" s="18"/>
      <c r="D40" s="16"/>
      <c r="E40" s="16"/>
      <c r="F40" s="16"/>
      <c r="G40" s="16"/>
      <c r="H40" s="16"/>
      <c r="I40" s="16"/>
      <c r="J40" s="45"/>
      <c r="K40" s="16"/>
      <c r="L40" s="16"/>
      <c r="M40" s="128"/>
      <c r="N40" s="128"/>
      <c r="O40" s="128"/>
      <c r="P40" s="128"/>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row>
    <row r="41" spans="1:63" ht="15">
      <c r="A41" s="179">
        <v>19</v>
      </c>
      <c r="B41" s="111"/>
      <c r="C41" s="121" t="s">
        <v>358</v>
      </c>
      <c r="D41" s="110" t="s">
        <v>218</v>
      </c>
      <c r="E41" s="110"/>
      <c r="F41" s="110"/>
      <c r="G41" s="110"/>
      <c r="H41" s="110"/>
      <c r="I41" s="110"/>
      <c r="J41" s="180">
        <f>+J39/12</f>
        <v>0.017314659708914104</v>
      </c>
      <c r="K41" s="16"/>
      <c r="L41" s="16"/>
      <c r="M41" s="128"/>
      <c r="N41" s="128"/>
      <c r="O41" s="128"/>
      <c r="P41" s="128"/>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row>
    <row r="42" spans="1:63" ht="15">
      <c r="A42" s="179"/>
      <c r="B42" s="111"/>
      <c r="C42" s="121"/>
      <c r="D42" s="110"/>
      <c r="E42" s="110"/>
      <c r="F42" s="110"/>
      <c r="G42" s="110"/>
      <c r="H42" s="110"/>
      <c r="I42" s="110"/>
      <c r="J42" s="180"/>
      <c r="K42" s="16"/>
      <c r="L42" s="16"/>
      <c r="M42" s="128"/>
      <c r="N42" s="128"/>
      <c r="O42" s="128"/>
      <c r="P42" s="128"/>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row>
    <row r="43" spans="1:63" ht="15.75" customHeight="1">
      <c r="A43" s="179">
        <v>20</v>
      </c>
      <c r="B43" s="111"/>
      <c r="C43" s="121" t="s">
        <v>102</v>
      </c>
      <c r="D43" s="110"/>
      <c r="E43" s="110"/>
      <c r="F43" s="110"/>
      <c r="G43" s="110"/>
      <c r="H43" s="387" t="s">
        <v>45</v>
      </c>
      <c r="I43" s="110"/>
      <c r="J43" s="386">
        <f>'Worksheet C'!I30</f>
        <v>365592.0375974572</v>
      </c>
      <c r="K43" s="16"/>
      <c r="L43" s="16"/>
      <c r="M43" s="128"/>
      <c r="N43" s="128"/>
      <c r="O43" s="128"/>
      <c r="P43" s="128"/>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row>
    <row r="44" spans="1:63" ht="15">
      <c r="A44" s="179"/>
      <c r="B44" s="111"/>
      <c r="C44" s="121"/>
      <c r="D44" s="110"/>
      <c r="E44" s="110"/>
      <c r="F44" s="110"/>
      <c r="G44" s="110"/>
      <c r="H44" s="110"/>
      <c r="I44" s="110"/>
      <c r="J44" s="180"/>
      <c r="K44" s="16"/>
      <c r="L44" s="16"/>
      <c r="M44" s="128"/>
      <c r="N44" s="128"/>
      <c r="O44" s="128"/>
      <c r="P44" s="128"/>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row>
    <row r="45" spans="3:19" ht="20.25">
      <c r="C45" s="147"/>
      <c r="D45" s="147"/>
      <c r="E45" s="147"/>
      <c r="F45" s="147"/>
      <c r="G45" s="147"/>
      <c r="H45" s="147"/>
      <c r="I45" s="147"/>
      <c r="J45" s="147"/>
      <c r="K45" s="147"/>
      <c r="L45" s="147"/>
      <c r="M45" s="147"/>
      <c r="N45" s="6"/>
      <c r="O45" s="6"/>
      <c r="P45" s="6"/>
      <c r="Q45" s="6"/>
      <c r="R45" s="6"/>
      <c r="S45" s="6"/>
    </row>
    <row r="46" spans="11:19" ht="20.25">
      <c r="K46" s="147"/>
      <c r="L46" s="147"/>
      <c r="M46" s="147"/>
      <c r="N46" s="6"/>
      <c r="O46" s="6"/>
      <c r="P46" s="6"/>
      <c r="Q46" s="6"/>
      <c r="R46" s="6"/>
      <c r="S46" s="6"/>
    </row>
    <row r="47" spans="3:19" ht="20.25">
      <c r="C47" s="453" t="s">
        <v>107</v>
      </c>
      <c r="K47" s="147"/>
      <c r="L47" s="147"/>
      <c r="M47" s="147"/>
      <c r="N47" s="6"/>
      <c r="O47" s="6"/>
      <c r="P47" s="6"/>
      <c r="Q47" s="6"/>
      <c r="R47" s="6"/>
      <c r="S47" s="6"/>
    </row>
    <row r="48" spans="2:19" ht="20.25">
      <c r="B48" s="476" t="s">
        <v>105</v>
      </c>
      <c r="C48" s="129" t="s">
        <v>789</v>
      </c>
      <c r="K48" s="147"/>
      <c r="L48" s="147"/>
      <c r="M48" s="147"/>
      <c r="N48" s="6"/>
      <c r="O48" s="6"/>
      <c r="P48" s="6"/>
      <c r="Q48" s="6"/>
      <c r="R48" s="6"/>
      <c r="S48" s="6"/>
    </row>
    <row r="49" spans="1:19" ht="20.25">
      <c r="A49" s="174" t="s">
        <v>105</v>
      </c>
      <c r="C49" s="28" t="s">
        <v>214</v>
      </c>
      <c r="D49" s="28" t="s">
        <v>474</v>
      </c>
      <c r="E49" s="28"/>
      <c r="F49" s="28"/>
      <c r="G49" s="28"/>
      <c r="H49" s="28"/>
      <c r="I49" s="28"/>
      <c r="J49" s="21">
        <f>+WEN!J118+WES!J117</f>
        <v>638383098</v>
      </c>
      <c r="K49" s="147"/>
      <c r="L49" s="147"/>
      <c r="M49" s="147"/>
      <c r="N49" s="6"/>
      <c r="O49" s="6"/>
      <c r="P49" s="6"/>
      <c r="Q49" s="6"/>
      <c r="R49" s="6"/>
      <c r="S49" s="6"/>
    </row>
    <row r="50" spans="1:19" ht="20.25">
      <c r="A50" s="174" t="s">
        <v>105</v>
      </c>
      <c r="C50" s="28" t="s">
        <v>215</v>
      </c>
      <c r="D50" s="28"/>
      <c r="E50" s="28"/>
      <c r="F50" s="28"/>
      <c r="G50" s="28"/>
      <c r="H50" s="28"/>
      <c r="I50" s="28"/>
      <c r="J50" s="21">
        <f>+WEN!J119+WES!J118</f>
        <v>0</v>
      </c>
      <c r="K50" s="147"/>
      <c r="L50" s="147"/>
      <c r="M50" s="147"/>
      <c r="N50" s="6"/>
      <c r="O50" s="6"/>
      <c r="P50" s="6"/>
      <c r="Q50" s="6"/>
      <c r="R50" s="6"/>
      <c r="S50" s="6"/>
    </row>
    <row r="51" spans="1:19" ht="21" thickBot="1">
      <c r="A51" s="174" t="s">
        <v>105</v>
      </c>
      <c r="C51" s="452" t="s">
        <v>216</v>
      </c>
      <c r="D51" s="452"/>
      <c r="E51" s="28"/>
      <c r="F51" s="28"/>
      <c r="G51" s="28"/>
      <c r="H51" s="28"/>
      <c r="I51" s="28"/>
      <c r="J51" s="61">
        <f>WEN!J120+WES!J119</f>
        <v>53964</v>
      </c>
      <c r="K51" s="147"/>
      <c r="L51" s="147"/>
      <c r="M51" s="147"/>
      <c r="N51" s="6"/>
      <c r="O51" s="6"/>
      <c r="P51" s="6"/>
      <c r="Q51" s="6"/>
      <c r="R51" s="6"/>
      <c r="S51" s="6"/>
    </row>
    <row r="52" spans="3:19" ht="20.25">
      <c r="C52" s="28" t="s">
        <v>62</v>
      </c>
      <c r="D52" s="28"/>
      <c r="E52" s="28"/>
      <c r="F52" s="28"/>
      <c r="G52" s="28"/>
      <c r="H52" s="28"/>
      <c r="I52" s="28"/>
      <c r="J52" s="380">
        <f>+J49-J51</f>
        <v>638329134</v>
      </c>
      <c r="K52" s="147"/>
      <c r="L52" s="147"/>
      <c r="M52" s="147"/>
      <c r="N52" s="6"/>
      <c r="O52" s="6"/>
      <c r="P52" s="6"/>
      <c r="Q52" s="6"/>
      <c r="R52" s="6"/>
      <c r="S52" s="6"/>
    </row>
    <row r="53" spans="3:19" ht="20.25">
      <c r="C53" s="28"/>
      <c r="D53" s="28"/>
      <c r="E53" s="28"/>
      <c r="F53" s="28"/>
      <c r="G53" s="28"/>
      <c r="H53" s="28"/>
      <c r="I53" s="28"/>
      <c r="J53" s="28"/>
      <c r="K53" s="147"/>
      <c r="L53" s="147"/>
      <c r="M53" s="147"/>
      <c r="N53" s="6"/>
      <c r="O53" s="6"/>
      <c r="P53" s="6"/>
      <c r="Q53" s="6"/>
      <c r="R53" s="6"/>
      <c r="S53" s="6"/>
    </row>
    <row r="54" spans="3:19" ht="20.25">
      <c r="C54" s="28" t="s">
        <v>819</v>
      </c>
      <c r="D54" s="28"/>
      <c r="E54" s="28"/>
      <c r="F54" s="28"/>
      <c r="G54" s="28"/>
      <c r="H54" s="28"/>
      <c r="I54" s="379" t="s">
        <v>818</v>
      </c>
      <c r="J54" s="36">
        <f>+J52/J49</f>
        <v>0.9999154676867714</v>
      </c>
      <c r="K54" s="147"/>
      <c r="L54" s="147"/>
      <c r="M54" s="147"/>
      <c r="N54" s="6"/>
      <c r="O54" s="6"/>
      <c r="P54" s="6"/>
      <c r="Q54" s="6"/>
      <c r="R54" s="6"/>
      <c r="S54" s="6"/>
    </row>
    <row r="55" spans="3:19" ht="20.25">
      <c r="C55" s="147"/>
      <c r="D55" s="147"/>
      <c r="E55" s="147"/>
      <c r="F55" s="147"/>
      <c r="G55" s="147"/>
      <c r="H55" s="147"/>
      <c r="I55" s="147"/>
      <c r="J55" s="147"/>
      <c r="K55" s="147"/>
      <c r="L55" s="147"/>
      <c r="M55" s="147"/>
      <c r="N55" s="6"/>
      <c r="O55" s="6"/>
      <c r="P55" s="6"/>
      <c r="Q55" s="6"/>
      <c r="R55" s="6"/>
      <c r="S55" s="6"/>
    </row>
    <row r="56" spans="3:19" ht="20.25">
      <c r="C56" s="453" t="s">
        <v>108</v>
      </c>
      <c r="D56" s="147"/>
      <c r="E56" s="147"/>
      <c r="F56" s="147"/>
      <c r="G56" s="147"/>
      <c r="H56" s="147"/>
      <c r="I56" s="147"/>
      <c r="J56" s="147"/>
      <c r="K56" s="147"/>
      <c r="L56" s="147"/>
      <c r="M56" s="147"/>
      <c r="N56" s="6"/>
      <c r="O56" s="6"/>
      <c r="P56" s="6"/>
      <c r="Q56" s="6"/>
      <c r="R56" s="6"/>
      <c r="S56" s="6"/>
    </row>
    <row r="57" spans="1:19" ht="20.25">
      <c r="A57" s="35" t="s">
        <v>105</v>
      </c>
      <c r="B57" s="476" t="s">
        <v>105</v>
      </c>
      <c r="C57" s="368" t="s">
        <v>269</v>
      </c>
      <c r="D57" s="368"/>
      <c r="E57" s="461"/>
      <c r="F57" s="461"/>
      <c r="G57" s="462"/>
      <c r="H57" s="462"/>
      <c r="I57" s="462"/>
      <c r="J57" s="147"/>
      <c r="K57" s="147"/>
      <c r="L57" s="147"/>
      <c r="M57" s="147"/>
      <c r="N57" s="6"/>
      <c r="O57" s="6"/>
      <c r="P57" s="6"/>
      <c r="Q57" s="6"/>
      <c r="R57" s="6"/>
      <c r="S57" s="6"/>
    </row>
    <row r="58" spans="1:19" ht="20.25">
      <c r="A58" s="465"/>
      <c r="B58" s="28"/>
      <c r="C58" s="368" t="s">
        <v>268</v>
      </c>
      <c r="D58" s="368"/>
      <c r="E58" s="461"/>
      <c r="F58" s="461"/>
      <c r="G58" s="462"/>
      <c r="H58" s="462"/>
      <c r="I58" s="462"/>
      <c r="J58" s="147"/>
      <c r="K58" s="147"/>
      <c r="L58" s="147"/>
      <c r="M58" s="147"/>
      <c r="N58" s="6"/>
      <c r="O58" s="6"/>
      <c r="P58" s="6"/>
      <c r="Q58" s="6"/>
      <c r="R58" s="6"/>
      <c r="S58" s="6"/>
    </row>
    <row r="59" spans="3:19" ht="20.25">
      <c r="C59" s="147"/>
      <c r="D59" s="147"/>
      <c r="E59" s="147"/>
      <c r="F59" s="147"/>
      <c r="G59" s="147"/>
      <c r="H59" s="147"/>
      <c r="I59" s="147"/>
      <c r="J59" s="147"/>
      <c r="K59" s="147"/>
      <c r="L59" s="147"/>
      <c r="M59" s="147"/>
      <c r="N59" s="6"/>
      <c r="O59" s="6"/>
      <c r="P59" s="6"/>
      <c r="Q59" s="6"/>
      <c r="R59" s="6"/>
      <c r="S59" s="6"/>
    </row>
    <row r="60" spans="3:19" ht="20.25">
      <c r="C60" s="147"/>
      <c r="D60" s="147"/>
      <c r="E60" s="147"/>
      <c r="F60" s="147"/>
      <c r="G60" s="147"/>
      <c r="H60" s="147"/>
      <c r="I60" s="147"/>
      <c r="J60" s="147"/>
      <c r="K60" s="147"/>
      <c r="L60" s="147"/>
      <c r="M60" s="147"/>
      <c r="N60" s="6"/>
      <c r="O60" s="6"/>
      <c r="P60" s="6"/>
      <c r="Q60" s="6"/>
      <c r="R60" s="6"/>
      <c r="S60" s="6"/>
    </row>
    <row r="61" spans="3:19" ht="20.25">
      <c r="C61" s="147"/>
      <c r="D61" s="147"/>
      <c r="E61" s="147"/>
      <c r="F61" s="147"/>
      <c r="G61" s="147"/>
      <c r="H61" s="147"/>
      <c r="I61" s="147"/>
      <c r="J61" s="147"/>
      <c r="K61" s="147"/>
      <c r="L61" s="147"/>
      <c r="M61" s="147"/>
      <c r="N61" s="6"/>
      <c r="O61" s="6"/>
      <c r="P61" s="6"/>
      <c r="Q61" s="6"/>
      <c r="R61" s="6"/>
      <c r="S61" s="6"/>
    </row>
    <row r="62" spans="3:19" ht="20.25">
      <c r="C62" s="147"/>
      <c r="D62" s="147"/>
      <c r="E62" s="147"/>
      <c r="F62" s="147"/>
      <c r="G62" s="147"/>
      <c r="H62" s="147"/>
      <c r="I62" s="147"/>
      <c r="J62" s="147"/>
      <c r="K62" s="147"/>
      <c r="L62" s="147"/>
      <c r="M62" s="147"/>
      <c r="N62" s="6"/>
      <c r="O62" s="6"/>
      <c r="P62" s="6"/>
      <c r="Q62" s="6"/>
      <c r="R62" s="6"/>
      <c r="S62" s="6"/>
    </row>
    <row r="63" spans="3:19" ht="20.25">
      <c r="C63" s="147"/>
      <c r="D63" s="147"/>
      <c r="E63" s="147"/>
      <c r="F63" s="147"/>
      <c r="G63" s="147"/>
      <c r="H63" s="147"/>
      <c r="I63" s="147"/>
      <c r="J63" s="147"/>
      <c r="K63" s="147"/>
      <c r="L63" s="147"/>
      <c r="M63" s="147"/>
      <c r="N63" s="6"/>
      <c r="O63" s="6"/>
      <c r="P63" s="6"/>
      <c r="Q63" s="6"/>
      <c r="R63" s="6"/>
      <c r="S63" s="6"/>
    </row>
    <row r="64" spans="3:19" ht="20.25">
      <c r="C64" s="147"/>
      <c r="D64" s="147"/>
      <c r="E64" s="147"/>
      <c r="F64" s="147"/>
      <c r="G64" s="147"/>
      <c r="H64" s="147"/>
      <c r="I64" s="147"/>
      <c r="J64" s="147"/>
      <c r="K64" s="147"/>
      <c r="L64" s="147"/>
      <c r="M64" s="147"/>
      <c r="N64" s="6"/>
      <c r="O64" s="6"/>
      <c r="P64" s="6"/>
      <c r="Q64" s="6"/>
      <c r="R64" s="6"/>
      <c r="S64" s="6"/>
    </row>
    <row r="65" spans="3:19" ht="20.25">
      <c r="C65" s="147"/>
      <c r="D65" s="147"/>
      <c r="E65" s="147"/>
      <c r="F65" s="147"/>
      <c r="G65" s="147"/>
      <c r="H65" s="147"/>
      <c r="I65" s="147"/>
      <c r="J65" s="147"/>
      <c r="K65" s="147"/>
      <c r="L65" s="147"/>
      <c r="M65" s="147"/>
      <c r="N65" s="6"/>
      <c r="O65" s="6"/>
      <c r="P65" s="6"/>
      <c r="Q65" s="6"/>
      <c r="R65" s="6"/>
      <c r="S65" s="6"/>
    </row>
    <row r="66" spans="3:19" ht="20.25">
      <c r="C66" s="147"/>
      <c r="D66" s="147"/>
      <c r="E66" s="147"/>
      <c r="F66" s="147"/>
      <c r="G66" s="147"/>
      <c r="H66" s="147"/>
      <c r="I66" s="147"/>
      <c r="J66" s="147"/>
      <c r="K66" s="147"/>
      <c r="L66" s="147"/>
      <c r="M66" s="147"/>
      <c r="N66" s="6"/>
      <c r="O66" s="6"/>
      <c r="P66" s="6"/>
      <c r="Q66" s="6"/>
      <c r="R66" s="6"/>
      <c r="S66" s="6"/>
    </row>
    <row r="67" spans="3:19" ht="20.25">
      <c r="C67" s="147"/>
      <c r="D67" s="147"/>
      <c r="E67" s="147"/>
      <c r="F67" s="147"/>
      <c r="G67" s="147"/>
      <c r="H67" s="147"/>
      <c r="I67" s="147"/>
      <c r="J67" s="147"/>
      <c r="K67" s="147"/>
      <c r="L67" s="147"/>
      <c r="M67" s="147"/>
      <c r="N67" s="6"/>
      <c r="O67" s="6"/>
      <c r="P67" s="6"/>
      <c r="Q67" s="6"/>
      <c r="R67" s="6"/>
      <c r="S67" s="6"/>
    </row>
    <row r="68" spans="3:19" ht="20.25">
      <c r="C68" s="147"/>
      <c r="D68" s="147"/>
      <c r="E68" s="147"/>
      <c r="F68" s="147"/>
      <c r="G68" s="147"/>
      <c r="H68" s="147"/>
      <c r="I68" s="147"/>
      <c r="J68" s="147"/>
      <c r="K68" s="147"/>
      <c r="L68" s="147"/>
      <c r="M68" s="147"/>
      <c r="N68" s="6"/>
      <c r="O68" s="6"/>
      <c r="P68" s="6"/>
      <c r="Q68" s="6"/>
      <c r="R68" s="6"/>
      <c r="S68" s="6"/>
    </row>
    <row r="69" spans="3:19" ht="20.25">
      <c r="C69" s="147"/>
      <c r="D69" s="147"/>
      <c r="E69" s="147"/>
      <c r="F69" s="147"/>
      <c r="G69" s="147"/>
      <c r="H69" s="147"/>
      <c r="I69" s="147"/>
      <c r="J69" s="147"/>
      <c r="K69" s="147"/>
      <c r="L69" s="147"/>
      <c r="M69" s="147"/>
      <c r="N69" s="6"/>
      <c r="O69" s="6"/>
      <c r="P69" s="6"/>
      <c r="Q69" s="6"/>
      <c r="R69" s="6"/>
      <c r="S69" s="6"/>
    </row>
    <row r="70" spans="3:19" ht="15">
      <c r="C70" s="6"/>
      <c r="D70" s="6"/>
      <c r="E70" s="6"/>
      <c r="F70" s="6"/>
      <c r="G70" s="6"/>
      <c r="H70" s="6"/>
      <c r="I70" s="6"/>
      <c r="J70" s="6"/>
      <c r="K70" s="6"/>
      <c r="L70" s="6"/>
      <c r="M70" s="6"/>
      <c r="N70" s="6"/>
      <c r="O70" s="6"/>
      <c r="P70" s="6"/>
      <c r="Q70" s="6"/>
      <c r="R70" s="6"/>
      <c r="S70" s="6"/>
    </row>
    <row r="71" spans="3:19" ht="15">
      <c r="C71" s="6"/>
      <c r="D71" s="6"/>
      <c r="E71" s="6"/>
      <c r="F71" s="6"/>
      <c r="G71" s="6"/>
      <c r="H71" s="6"/>
      <c r="I71" s="6"/>
      <c r="J71" s="6"/>
      <c r="K71" s="6"/>
      <c r="L71" s="6"/>
      <c r="M71" s="6"/>
      <c r="N71" s="6"/>
      <c r="O71" s="6"/>
      <c r="P71" s="6"/>
      <c r="Q71" s="6"/>
      <c r="R71" s="6"/>
      <c r="S71" s="6"/>
    </row>
    <row r="72" spans="3:19" ht="15">
      <c r="C72" s="6"/>
      <c r="D72" s="6"/>
      <c r="E72" s="6"/>
      <c r="F72" s="6"/>
      <c r="G72" s="6"/>
      <c r="H72" s="6"/>
      <c r="I72" s="6"/>
      <c r="J72" s="6"/>
      <c r="K72" s="6"/>
      <c r="L72" s="6"/>
      <c r="M72" s="6"/>
      <c r="N72" s="6"/>
      <c r="O72" s="6"/>
      <c r="P72" s="6"/>
      <c r="Q72" s="6"/>
      <c r="R72" s="6"/>
      <c r="S72" s="6"/>
    </row>
    <row r="73" spans="3:19" ht="15">
      <c r="C73" s="6"/>
      <c r="D73" s="6"/>
      <c r="E73" s="6"/>
      <c r="F73" s="6"/>
      <c r="G73" s="6"/>
      <c r="H73" s="6"/>
      <c r="I73" s="6"/>
      <c r="J73" s="6"/>
      <c r="K73" s="6"/>
      <c r="L73" s="6"/>
      <c r="M73" s="6"/>
      <c r="N73" s="6"/>
      <c r="O73" s="6"/>
      <c r="P73" s="6"/>
      <c r="Q73" s="6"/>
      <c r="R73" s="6"/>
      <c r="S73" s="6"/>
    </row>
    <row r="74" spans="3:19" ht="15">
      <c r="C74" s="6"/>
      <c r="D74" s="6"/>
      <c r="E74" s="6"/>
      <c r="F74" s="6"/>
      <c r="G74" s="6"/>
      <c r="H74" s="6"/>
      <c r="I74" s="6"/>
      <c r="J74" s="6"/>
      <c r="K74" s="6"/>
      <c r="L74" s="6"/>
      <c r="M74" s="6"/>
      <c r="N74" s="6"/>
      <c r="O74" s="6"/>
      <c r="P74" s="6"/>
      <c r="Q74" s="6"/>
      <c r="R74" s="6"/>
      <c r="S74" s="6"/>
    </row>
    <row r="75" spans="3:19" ht="15">
      <c r="C75" s="6"/>
      <c r="D75" s="6"/>
      <c r="E75" s="6"/>
      <c r="F75" s="6"/>
      <c r="G75" s="6"/>
      <c r="H75" s="6"/>
      <c r="I75" s="6"/>
      <c r="J75" s="6"/>
      <c r="K75" s="6"/>
      <c r="L75" s="6"/>
      <c r="M75" s="6"/>
      <c r="N75" s="6"/>
      <c r="O75" s="6"/>
      <c r="P75" s="6"/>
      <c r="Q75" s="6"/>
      <c r="R75" s="6"/>
      <c r="S75" s="6"/>
    </row>
    <row r="76" spans="3:19" ht="15">
      <c r="C76" s="6"/>
      <c r="D76" s="6"/>
      <c r="E76" s="6"/>
      <c r="F76" s="6"/>
      <c r="G76" s="6"/>
      <c r="H76" s="6"/>
      <c r="I76" s="6"/>
      <c r="J76" s="6"/>
      <c r="K76" s="6"/>
      <c r="L76" s="6"/>
      <c r="M76" s="6"/>
      <c r="N76" s="6"/>
      <c r="O76" s="6"/>
      <c r="P76" s="6"/>
      <c r="Q76" s="6"/>
      <c r="R76" s="6"/>
      <c r="S76" s="6"/>
    </row>
    <row r="77" spans="3:19" ht="15">
      <c r="C77" s="6"/>
      <c r="D77" s="6"/>
      <c r="E77" s="6"/>
      <c r="F77" s="6"/>
      <c r="G77" s="6"/>
      <c r="H77" s="6"/>
      <c r="I77" s="6"/>
      <c r="J77" s="6"/>
      <c r="K77" s="6"/>
      <c r="L77" s="6"/>
      <c r="M77" s="6"/>
      <c r="N77" s="6"/>
      <c r="O77" s="6"/>
      <c r="P77" s="6"/>
      <c r="Q77" s="6"/>
      <c r="R77" s="6"/>
      <c r="S77" s="6"/>
    </row>
    <row r="78" spans="3:19" ht="15">
      <c r="C78" s="6"/>
      <c r="D78" s="6"/>
      <c r="E78" s="6"/>
      <c r="F78" s="6"/>
      <c r="G78" s="6"/>
      <c r="H78" s="6"/>
      <c r="I78" s="6"/>
      <c r="J78" s="6"/>
      <c r="K78" s="6"/>
      <c r="L78" s="6"/>
      <c r="M78" s="6"/>
      <c r="N78" s="6"/>
      <c r="O78" s="6"/>
      <c r="P78" s="6"/>
      <c r="Q78" s="6"/>
      <c r="R78" s="6"/>
      <c r="S78" s="6"/>
    </row>
    <row r="79" spans="3:19" ht="15">
      <c r="C79" s="6"/>
      <c r="D79" s="6"/>
      <c r="E79" s="6"/>
      <c r="F79" s="6"/>
      <c r="G79" s="6"/>
      <c r="H79" s="6"/>
      <c r="I79" s="6"/>
      <c r="J79" s="6"/>
      <c r="K79" s="6"/>
      <c r="L79" s="6"/>
      <c r="M79" s="6"/>
      <c r="N79" s="6"/>
      <c r="O79" s="6"/>
      <c r="P79" s="6"/>
      <c r="Q79" s="6"/>
      <c r="R79" s="6"/>
      <c r="S79" s="6"/>
    </row>
    <row r="80" spans="3:19" ht="15">
      <c r="C80" s="6"/>
      <c r="D80" s="6"/>
      <c r="E80" s="6"/>
      <c r="F80" s="6"/>
      <c r="G80" s="6"/>
      <c r="H80" s="6"/>
      <c r="I80" s="6"/>
      <c r="J80" s="6"/>
      <c r="K80" s="6"/>
      <c r="L80" s="6"/>
      <c r="M80" s="6"/>
      <c r="N80" s="6"/>
      <c r="O80" s="6"/>
      <c r="P80" s="6"/>
      <c r="Q80" s="6"/>
      <c r="R80" s="6"/>
      <c r="S80" s="6"/>
    </row>
    <row r="81" spans="3:19" ht="15">
      <c r="C81" s="6"/>
      <c r="D81" s="6"/>
      <c r="E81" s="6"/>
      <c r="F81" s="6"/>
      <c r="G81" s="6"/>
      <c r="H81" s="6"/>
      <c r="I81" s="6"/>
      <c r="J81" s="6"/>
      <c r="K81" s="6"/>
      <c r="L81" s="6"/>
      <c r="M81" s="6"/>
      <c r="N81" s="6"/>
      <c r="O81" s="6"/>
      <c r="P81" s="6"/>
      <c r="Q81" s="6"/>
      <c r="R81" s="6"/>
      <c r="S81" s="6"/>
    </row>
    <row r="82" spans="3:19" ht="15">
      <c r="C82" s="6"/>
      <c r="D82" s="6"/>
      <c r="E82" s="6"/>
      <c r="F82" s="6"/>
      <c r="G82" s="6"/>
      <c r="H82" s="6"/>
      <c r="I82" s="6"/>
      <c r="J82" s="6"/>
      <c r="K82" s="6"/>
      <c r="L82" s="6"/>
      <c r="M82" s="6"/>
      <c r="N82" s="6"/>
      <c r="O82" s="6"/>
      <c r="P82" s="6"/>
      <c r="Q82" s="6"/>
      <c r="R82" s="6"/>
      <c r="S82" s="6"/>
    </row>
    <row r="83" spans="3:19" ht="15">
      <c r="C83" s="6"/>
      <c r="D83" s="6"/>
      <c r="E83" s="6"/>
      <c r="F83" s="6"/>
      <c r="G83" s="6"/>
      <c r="H83" s="6"/>
      <c r="I83" s="6"/>
      <c r="J83" s="6"/>
      <c r="K83" s="6"/>
      <c r="L83" s="6"/>
      <c r="M83" s="6"/>
      <c r="N83" s="6"/>
      <c r="O83" s="6"/>
      <c r="P83" s="6"/>
      <c r="Q83" s="6"/>
      <c r="R83" s="6"/>
      <c r="S83" s="6"/>
    </row>
    <row r="84" spans="3:19" ht="15">
      <c r="C84" s="6"/>
      <c r="D84" s="6"/>
      <c r="E84" s="6"/>
      <c r="F84" s="6"/>
      <c r="G84" s="6"/>
      <c r="H84" s="6"/>
      <c r="I84" s="6"/>
      <c r="J84" s="6"/>
      <c r="K84" s="6"/>
      <c r="L84" s="6"/>
      <c r="M84" s="6"/>
      <c r="N84" s="6"/>
      <c r="O84" s="6"/>
      <c r="P84" s="6"/>
      <c r="Q84" s="6"/>
      <c r="R84" s="6"/>
      <c r="S84" s="6"/>
    </row>
    <row r="85" spans="3:19" ht="15">
      <c r="C85" s="6"/>
      <c r="D85" s="6"/>
      <c r="E85" s="6"/>
      <c r="F85" s="6"/>
      <c r="G85" s="6"/>
      <c r="H85" s="6"/>
      <c r="I85" s="6"/>
      <c r="J85" s="6"/>
      <c r="K85" s="6"/>
      <c r="L85" s="6"/>
      <c r="M85" s="6"/>
      <c r="N85" s="6"/>
      <c r="O85" s="6"/>
      <c r="P85" s="6"/>
      <c r="Q85" s="6"/>
      <c r="R85" s="6"/>
      <c r="S85" s="6"/>
    </row>
    <row r="86" spans="3:19" ht="15">
      <c r="C86" s="6"/>
      <c r="D86" s="6"/>
      <c r="E86" s="6"/>
      <c r="F86" s="6"/>
      <c r="G86" s="6"/>
      <c r="H86" s="6"/>
      <c r="I86" s="6"/>
      <c r="J86" s="6"/>
      <c r="K86" s="6"/>
      <c r="L86" s="6"/>
      <c r="M86" s="6"/>
      <c r="N86" s="6"/>
      <c r="O86" s="6"/>
      <c r="P86" s="6"/>
      <c r="Q86" s="6"/>
      <c r="R86" s="6"/>
      <c r="S86" s="6"/>
    </row>
    <row r="87" spans="3:19" ht="15">
      <c r="C87" s="6"/>
      <c r="D87" s="6"/>
      <c r="E87" s="6"/>
      <c r="F87" s="6"/>
      <c r="G87" s="6"/>
      <c r="H87" s="6"/>
      <c r="I87" s="6"/>
      <c r="J87" s="6"/>
      <c r="K87" s="6"/>
      <c r="L87" s="6"/>
      <c r="M87" s="6"/>
      <c r="N87" s="6"/>
      <c r="O87" s="6"/>
      <c r="P87" s="6"/>
      <c r="Q87" s="6"/>
      <c r="R87" s="6"/>
      <c r="S87" s="6"/>
    </row>
    <row r="88" spans="3:19" ht="15">
      <c r="C88" s="6"/>
      <c r="D88" s="6"/>
      <c r="E88" s="6"/>
      <c r="F88" s="6"/>
      <c r="G88" s="6"/>
      <c r="H88" s="6"/>
      <c r="I88" s="6"/>
      <c r="J88" s="6"/>
      <c r="K88" s="6"/>
      <c r="L88" s="6"/>
      <c r="M88" s="6"/>
      <c r="N88" s="6"/>
      <c r="O88" s="6"/>
      <c r="P88" s="6"/>
      <c r="Q88" s="6"/>
      <c r="R88" s="6"/>
      <c r="S88" s="6"/>
    </row>
    <row r="89" spans="3:19" ht="15">
      <c r="C89" s="6"/>
      <c r="D89" s="6"/>
      <c r="E89" s="6"/>
      <c r="F89" s="6"/>
      <c r="G89" s="6"/>
      <c r="H89" s="6"/>
      <c r="I89" s="6"/>
      <c r="J89" s="6"/>
      <c r="K89" s="6"/>
      <c r="L89" s="6"/>
      <c r="M89" s="6"/>
      <c r="N89" s="6"/>
      <c r="O89" s="6"/>
      <c r="P89" s="6"/>
      <c r="Q89" s="6"/>
      <c r="R89" s="6"/>
      <c r="S89" s="6"/>
    </row>
    <row r="90" spans="3:19" ht="15">
      <c r="C90" s="6"/>
      <c r="D90" s="6"/>
      <c r="E90" s="6"/>
      <c r="F90" s="6"/>
      <c r="G90" s="6"/>
      <c r="H90" s="6"/>
      <c r="I90" s="6"/>
      <c r="J90" s="6"/>
      <c r="K90" s="6"/>
      <c r="L90" s="6"/>
      <c r="M90" s="6"/>
      <c r="N90" s="6"/>
      <c r="O90" s="6"/>
      <c r="P90" s="6"/>
      <c r="Q90" s="6"/>
      <c r="R90" s="6"/>
      <c r="S90" s="6"/>
    </row>
    <row r="91" spans="3:19" ht="15">
      <c r="C91" s="6"/>
      <c r="D91" s="6"/>
      <c r="E91" s="6"/>
      <c r="F91" s="6"/>
      <c r="G91" s="6"/>
      <c r="H91" s="6"/>
      <c r="I91" s="6"/>
      <c r="J91" s="6"/>
      <c r="K91" s="6"/>
      <c r="L91" s="6"/>
      <c r="M91" s="6"/>
      <c r="N91" s="6"/>
      <c r="O91" s="6"/>
      <c r="P91" s="6"/>
      <c r="Q91" s="6"/>
      <c r="R91" s="6"/>
      <c r="S91" s="6"/>
    </row>
    <row r="92" spans="3:19" ht="15">
      <c r="C92" s="6"/>
      <c r="D92" s="6"/>
      <c r="E92" s="6"/>
      <c r="F92" s="6"/>
      <c r="G92" s="6"/>
      <c r="H92" s="6"/>
      <c r="I92" s="6"/>
      <c r="J92" s="6"/>
      <c r="K92" s="6"/>
      <c r="L92" s="6"/>
      <c r="M92" s="6"/>
      <c r="N92" s="6"/>
      <c r="O92" s="6"/>
      <c r="P92" s="6"/>
      <c r="Q92" s="6"/>
      <c r="R92" s="6"/>
      <c r="S92" s="6"/>
    </row>
    <row r="93" spans="3:19" ht="15">
      <c r="C93" s="6"/>
      <c r="D93" s="6"/>
      <c r="E93" s="6"/>
      <c r="F93" s="6"/>
      <c r="G93" s="6"/>
      <c r="H93" s="6"/>
      <c r="I93" s="6"/>
      <c r="J93" s="6"/>
      <c r="K93" s="6"/>
      <c r="L93" s="6"/>
      <c r="M93" s="6"/>
      <c r="N93" s="6"/>
      <c r="O93" s="6"/>
      <c r="P93" s="6"/>
      <c r="Q93" s="6"/>
      <c r="R93" s="6"/>
      <c r="S93" s="6"/>
    </row>
    <row r="94" spans="3:19" ht="15">
      <c r="C94" s="6"/>
      <c r="D94" s="6"/>
      <c r="E94" s="6"/>
      <c r="F94" s="6"/>
      <c r="G94" s="6"/>
      <c r="H94" s="6"/>
      <c r="I94" s="6"/>
      <c r="J94" s="6"/>
      <c r="K94" s="6"/>
      <c r="L94" s="6"/>
      <c r="M94" s="6"/>
      <c r="N94" s="6"/>
      <c r="O94" s="6"/>
      <c r="P94" s="6"/>
      <c r="Q94" s="6"/>
      <c r="R94" s="6"/>
      <c r="S94" s="6"/>
    </row>
    <row r="95" spans="3:19" ht="15">
      <c r="C95" s="6"/>
      <c r="D95" s="6"/>
      <c r="E95" s="6"/>
      <c r="F95" s="6"/>
      <c r="G95" s="6"/>
      <c r="H95" s="6"/>
      <c r="I95" s="6"/>
      <c r="J95" s="6"/>
      <c r="K95" s="6"/>
      <c r="L95" s="6"/>
      <c r="M95" s="6"/>
      <c r="N95" s="6"/>
      <c r="O95" s="6"/>
      <c r="P95" s="6"/>
      <c r="Q95" s="6"/>
      <c r="R95" s="6"/>
      <c r="S95" s="6"/>
    </row>
    <row r="96" spans="3:19" ht="15">
      <c r="C96" s="6"/>
      <c r="D96" s="6"/>
      <c r="E96" s="6"/>
      <c r="F96" s="6"/>
      <c r="G96" s="6"/>
      <c r="H96" s="6"/>
      <c r="I96" s="6"/>
      <c r="J96" s="6"/>
      <c r="K96" s="6"/>
      <c r="L96" s="6"/>
      <c r="M96" s="6"/>
      <c r="N96" s="6"/>
      <c r="O96" s="6"/>
      <c r="P96" s="6"/>
      <c r="Q96" s="6"/>
      <c r="R96" s="6"/>
      <c r="S96" s="6"/>
    </row>
    <row r="97" spans="3:19" ht="15">
      <c r="C97" s="6"/>
      <c r="D97" s="6"/>
      <c r="E97" s="6"/>
      <c r="F97" s="6"/>
      <c r="G97" s="6"/>
      <c r="H97" s="6"/>
      <c r="I97" s="6"/>
      <c r="J97" s="6"/>
      <c r="K97" s="6"/>
      <c r="L97" s="6"/>
      <c r="M97" s="6"/>
      <c r="N97" s="6"/>
      <c r="O97" s="6"/>
      <c r="P97" s="6"/>
      <c r="Q97" s="6"/>
      <c r="R97" s="6"/>
      <c r="S97" s="6"/>
    </row>
    <row r="98" spans="3:19" ht="15">
      <c r="C98" s="6"/>
      <c r="D98" s="6"/>
      <c r="E98" s="6"/>
      <c r="F98" s="6"/>
      <c r="G98" s="6"/>
      <c r="H98" s="6"/>
      <c r="I98" s="6"/>
      <c r="J98" s="6"/>
      <c r="K98" s="6"/>
      <c r="L98" s="6"/>
      <c r="M98" s="6"/>
      <c r="N98" s="6"/>
      <c r="O98" s="6"/>
      <c r="P98" s="6"/>
      <c r="Q98" s="6"/>
      <c r="R98" s="6"/>
      <c r="S98" s="6"/>
    </row>
    <row r="99" spans="3:19" ht="15">
      <c r="C99" s="6"/>
      <c r="D99" s="6"/>
      <c r="E99" s="6"/>
      <c r="F99" s="6"/>
      <c r="G99" s="6"/>
      <c r="H99" s="6"/>
      <c r="I99" s="6"/>
      <c r="J99" s="6"/>
      <c r="K99" s="6"/>
      <c r="L99" s="6"/>
      <c r="M99" s="6"/>
      <c r="N99" s="6"/>
      <c r="O99" s="6"/>
      <c r="P99" s="6"/>
      <c r="Q99" s="6"/>
      <c r="R99" s="6"/>
      <c r="S99" s="6"/>
    </row>
    <row r="100" spans="3:19" ht="15">
      <c r="C100" s="6"/>
      <c r="D100" s="6"/>
      <c r="E100" s="6"/>
      <c r="F100" s="6"/>
      <c r="G100" s="6"/>
      <c r="H100" s="6"/>
      <c r="I100" s="6"/>
      <c r="J100" s="6"/>
      <c r="K100" s="6"/>
      <c r="L100" s="6"/>
      <c r="M100" s="6"/>
      <c r="N100" s="6"/>
      <c r="O100" s="6"/>
      <c r="P100" s="6"/>
      <c r="Q100" s="6"/>
      <c r="R100" s="6"/>
      <c r="S100" s="6"/>
    </row>
    <row r="101" spans="3:19" ht="15">
      <c r="C101" s="6"/>
      <c r="D101" s="6"/>
      <c r="E101" s="6"/>
      <c r="F101" s="6"/>
      <c r="G101" s="6"/>
      <c r="H101" s="6"/>
      <c r="I101" s="6"/>
      <c r="J101" s="6"/>
      <c r="K101" s="6"/>
      <c r="L101" s="6"/>
      <c r="M101" s="6"/>
      <c r="N101" s="6"/>
      <c r="O101" s="6"/>
      <c r="P101" s="6"/>
      <c r="Q101" s="6"/>
      <c r="R101" s="6"/>
      <c r="S101" s="6"/>
    </row>
    <row r="102" spans="3:19" ht="15">
      <c r="C102" s="6"/>
      <c r="D102" s="6"/>
      <c r="E102" s="6"/>
      <c r="F102" s="6"/>
      <c r="G102" s="6"/>
      <c r="H102" s="6"/>
      <c r="I102" s="6"/>
      <c r="J102" s="6"/>
      <c r="K102" s="6"/>
      <c r="L102" s="6"/>
      <c r="M102" s="6"/>
      <c r="N102" s="6"/>
      <c r="O102" s="6"/>
      <c r="P102" s="6"/>
      <c r="Q102" s="6"/>
      <c r="R102" s="6"/>
      <c r="S102" s="6"/>
    </row>
    <row r="103" spans="3:19" ht="15">
      <c r="C103" s="6"/>
      <c r="D103" s="6"/>
      <c r="E103" s="6"/>
      <c r="F103" s="6"/>
      <c r="G103" s="6"/>
      <c r="H103" s="6"/>
      <c r="I103" s="6"/>
      <c r="J103" s="6"/>
      <c r="K103" s="6"/>
      <c r="L103" s="6"/>
      <c r="M103" s="6"/>
      <c r="N103" s="6"/>
      <c r="O103" s="6"/>
      <c r="P103" s="6"/>
      <c r="Q103" s="6"/>
      <c r="R103" s="6"/>
      <c r="S103" s="6"/>
    </row>
    <row r="104" spans="3:19" ht="15">
      <c r="C104" s="6"/>
      <c r="D104" s="6"/>
      <c r="E104" s="6"/>
      <c r="F104" s="6"/>
      <c r="G104" s="6"/>
      <c r="H104" s="6"/>
      <c r="I104" s="6"/>
      <c r="J104" s="6"/>
      <c r="K104" s="6"/>
      <c r="L104" s="6"/>
      <c r="M104" s="6"/>
      <c r="N104" s="6"/>
      <c r="O104" s="6"/>
      <c r="P104" s="6"/>
      <c r="Q104" s="6"/>
      <c r="R104" s="6"/>
      <c r="S104" s="6"/>
    </row>
    <row r="105" spans="3:19" ht="15">
      <c r="C105" s="6"/>
      <c r="D105" s="6"/>
      <c r="E105" s="6"/>
      <c r="F105" s="6"/>
      <c r="G105" s="6"/>
      <c r="H105" s="6"/>
      <c r="I105" s="6"/>
      <c r="J105" s="6"/>
      <c r="K105" s="6"/>
      <c r="L105" s="6"/>
      <c r="M105" s="6"/>
      <c r="N105" s="6"/>
      <c r="O105" s="6"/>
      <c r="P105" s="6"/>
      <c r="Q105" s="6"/>
      <c r="R105" s="6"/>
      <c r="S105" s="6"/>
    </row>
    <row r="106" spans="3:19" ht="15">
      <c r="C106" s="6"/>
      <c r="D106" s="6"/>
      <c r="E106" s="6"/>
      <c r="F106" s="6"/>
      <c r="G106" s="6"/>
      <c r="H106" s="6"/>
      <c r="I106" s="6"/>
      <c r="J106" s="6"/>
      <c r="K106" s="6"/>
      <c r="L106" s="6"/>
      <c r="M106" s="6"/>
      <c r="N106" s="6"/>
      <c r="O106" s="6"/>
      <c r="P106" s="6"/>
      <c r="Q106" s="6"/>
      <c r="R106" s="6"/>
      <c r="S106" s="6"/>
    </row>
    <row r="107" spans="3:19" ht="15">
      <c r="C107" s="6"/>
      <c r="D107" s="6"/>
      <c r="E107" s="6"/>
      <c r="F107" s="6"/>
      <c r="G107" s="6"/>
      <c r="H107" s="6"/>
      <c r="I107" s="6"/>
      <c r="J107" s="6"/>
      <c r="K107" s="6"/>
      <c r="L107" s="6"/>
      <c r="M107" s="6"/>
      <c r="N107" s="6"/>
      <c r="O107" s="6"/>
      <c r="P107" s="6"/>
      <c r="Q107" s="6"/>
      <c r="R107" s="6"/>
      <c r="S107" s="6"/>
    </row>
    <row r="108" spans="3:19" ht="15">
      <c r="C108" s="6"/>
      <c r="D108" s="6"/>
      <c r="E108" s="6"/>
      <c r="F108" s="6"/>
      <c r="G108" s="6"/>
      <c r="H108" s="6"/>
      <c r="I108" s="6"/>
      <c r="J108" s="6"/>
      <c r="K108" s="6"/>
      <c r="L108" s="6"/>
      <c r="M108" s="6"/>
      <c r="N108" s="6"/>
      <c r="O108" s="6"/>
      <c r="P108" s="6"/>
      <c r="Q108" s="6"/>
      <c r="R108" s="6"/>
      <c r="S108" s="6"/>
    </row>
    <row r="109" spans="3:19" ht="15">
      <c r="C109" s="6"/>
      <c r="D109" s="6"/>
      <c r="E109" s="6"/>
      <c r="F109" s="6"/>
      <c r="G109" s="6"/>
      <c r="H109" s="6"/>
      <c r="I109" s="6"/>
      <c r="J109" s="6"/>
      <c r="K109" s="6"/>
      <c r="L109" s="6"/>
      <c r="M109" s="6"/>
      <c r="N109" s="6"/>
      <c r="O109" s="6"/>
      <c r="P109" s="6"/>
      <c r="Q109" s="6"/>
      <c r="R109" s="6"/>
      <c r="S109" s="6"/>
    </row>
    <row r="110" spans="3:19" ht="15">
      <c r="C110" s="6"/>
      <c r="D110" s="6"/>
      <c r="E110" s="6"/>
      <c r="F110" s="6"/>
      <c r="G110" s="6"/>
      <c r="H110" s="6"/>
      <c r="I110" s="6"/>
      <c r="J110" s="6"/>
      <c r="K110" s="6"/>
      <c r="L110" s="6"/>
      <c r="M110" s="6"/>
      <c r="N110" s="6"/>
      <c r="O110" s="6"/>
      <c r="P110" s="6"/>
      <c r="Q110" s="6"/>
      <c r="R110" s="6"/>
      <c r="S110" s="6"/>
    </row>
    <row r="111" spans="3:19" ht="15">
      <c r="C111" s="6"/>
      <c r="D111" s="6"/>
      <c r="E111" s="6"/>
      <c r="F111" s="6"/>
      <c r="G111" s="6"/>
      <c r="H111" s="6"/>
      <c r="I111" s="6"/>
      <c r="J111" s="6"/>
      <c r="K111" s="6"/>
      <c r="L111" s="6"/>
      <c r="M111" s="6"/>
      <c r="N111" s="6"/>
      <c r="O111" s="6"/>
      <c r="P111" s="6"/>
      <c r="Q111" s="6"/>
      <c r="R111" s="6"/>
      <c r="S111" s="6"/>
    </row>
    <row r="112" spans="3:19" ht="15">
      <c r="C112" s="6"/>
      <c r="D112" s="6"/>
      <c r="E112" s="6"/>
      <c r="F112" s="6"/>
      <c r="G112" s="6"/>
      <c r="H112" s="6"/>
      <c r="I112" s="6"/>
      <c r="J112" s="6"/>
      <c r="K112" s="6"/>
      <c r="L112" s="6"/>
      <c r="M112" s="6"/>
      <c r="N112" s="6"/>
      <c r="O112" s="6"/>
      <c r="P112" s="6"/>
      <c r="Q112" s="6"/>
      <c r="R112" s="6"/>
      <c r="S112" s="6"/>
    </row>
    <row r="113" spans="3:19" ht="15">
      <c r="C113" s="6"/>
      <c r="D113" s="6"/>
      <c r="E113" s="6"/>
      <c r="F113" s="6"/>
      <c r="G113" s="6"/>
      <c r="H113" s="6"/>
      <c r="I113" s="6"/>
      <c r="J113" s="6"/>
      <c r="K113" s="6"/>
      <c r="L113" s="6"/>
      <c r="M113" s="6"/>
      <c r="N113" s="6"/>
      <c r="O113" s="6"/>
      <c r="P113" s="6"/>
      <c r="Q113" s="6"/>
      <c r="R113" s="6"/>
      <c r="S113" s="6"/>
    </row>
    <row r="114" spans="3:19" ht="15">
      <c r="C114" s="6"/>
      <c r="D114" s="6"/>
      <c r="E114" s="6"/>
      <c r="F114" s="6"/>
      <c r="G114" s="6"/>
      <c r="H114" s="6"/>
      <c r="I114" s="6"/>
      <c r="J114" s="6"/>
      <c r="K114" s="6"/>
      <c r="L114" s="6"/>
      <c r="M114" s="6"/>
      <c r="N114" s="6"/>
      <c r="O114" s="6"/>
      <c r="P114" s="6"/>
      <c r="Q114" s="6"/>
      <c r="R114" s="6"/>
      <c r="S114" s="6"/>
    </row>
    <row r="115" spans="3:19" ht="15">
      <c r="C115" s="6"/>
      <c r="D115" s="6"/>
      <c r="E115" s="6"/>
      <c r="F115" s="6"/>
      <c r="G115" s="6"/>
      <c r="H115" s="6"/>
      <c r="I115" s="6"/>
      <c r="J115" s="6"/>
      <c r="K115" s="6"/>
      <c r="L115" s="6"/>
      <c r="M115" s="6"/>
      <c r="N115" s="6"/>
      <c r="O115" s="6"/>
      <c r="P115" s="6"/>
      <c r="Q115" s="6"/>
      <c r="R115" s="6"/>
      <c r="S115" s="6"/>
    </row>
    <row r="116" spans="3:19" ht="15">
      <c r="C116" s="6"/>
      <c r="D116" s="6"/>
      <c r="E116" s="6"/>
      <c r="F116" s="6"/>
      <c r="G116" s="6"/>
      <c r="H116" s="6"/>
      <c r="I116" s="6"/>
      <c r="J116" s="6"/>
      <c r="K116" s="6"/>
      <c r="L116" s="6"/>
      <c r="M116" s="6"/>
      <c r="N116" s="6"/>
      <c r="O116" s="6"/>
      <c r="P116" s="6"/>
      <c r="Q116" s="6"/>
      <c r="R116" s="6"/>
      <c r="S116" s="6"/>
    </row>
    <row r="117" spans="3:19" ht="15">
      <c r="C117" s="6"/>
      <c r="D117" s="6"/>
      <c r="E117" s="6"/>
      <c r="F117" s="6"/>
      <c r="G117" s="6"/>
      <c r="H117" s="6"/>
      <c r="I117" s="6"/>
      <c r="J117" s="6"/>
      <c r="K117" s="6"/>
      <c r="L117" s="6"/>
      <c r="M117" s="6"/>
      <c r="N117" s="6"/>
      <c r="O117" s="6"/>
      <c r="P117" s="6"/>
      <c r="Q117" s="6"/>
      <c r="R117" s="6"/>
      <c r="S117" s="6"/>
    </row>
    <row r="118" spans="3:19" ht="15">
      <c r="C118" s="6"/>
      <c r="D118" s="6"/>
      <c r="E118" s="6"/>
      <c r="F118" s="6"/>
      <c r="G118" s="6"/>
      <c r="H118" s="6"/>
      <c r="I118" s="6"/>
      <c r="J118" s="6"/>
      <c r="K118" s="6"/>
      <c r="L118" s="6"/>
      <c r="M118" s="6"/>
      <c r="N118" s="6"/>
      <c r="O118" s="6"/>
      <c r="P118" s="6"/>
      <c r="Q118" s="6"/>
      <c r="R118" s="6"/>
      <c r="S118" s="6"/>
    </row>
    <row r="119" spans="3:19" ht="15">
      <c r="C119" s="6"/>
      <c r="D119" s="6"/>
      <c r="E119" s="6"/>
      <c r="F119" s="6"/>
      <c r="G119" s="6"/>
      <c r="H119" s="6"/>
      <c r="I119" s="6"/>
      <c r="J119" s="6"/>
      <c r="K119" s="6"/>
      <c r="L119" s="6"/>
      <c r="M119" s="6"/>
      <c r="N119" s="6"/>
      <c r="O119" s="6"/>
      <c r="P119" s="6"/>
      <c r="Q119" s="6"/>
      <c r="R119" s="6"/>
      <c r="S119" s="6"/>
    </row>
    <row r="120" spans="3:19" ht="15">
      <c r="C120" s="6"/>
      <c r="D120" s="6"/>
      <c r="E120" s="6"/>
      <c r="F120" s="6"/>
      <c r="G120" s="6"/>
      <c r="H120" s="6"/>
      <c r="I120" s="6"/>
      <c r="J120" s="6"/>
      <c r="K120" s="6"/>
      <c r="L120" s="6"/>
      <c r="M120" s="6"/>
      <c r="N120" s="6"/>
      <c r="O120" s="6"/>
      <c r="P120" s="6"/>
      <c r="Q120" s="6"/>
      <c r="R120" s="6"/>
      <c r="S120" s="6"/>
    </row>
    <row r="121" spans="3:19" ht="15">
      <c r="C121" s="6"/>
      <c r="D121" s="6"/>
      <c r="E121" s="6"/>
      <c r="F121" s="6"/>
      <c r="G121" s="6"/>
      <c r="H121" s="6"/>
      <c r="I121" s="6"/>
      <c r="J121" s="6"/>
      <c r="K121" s="6"/>
      <c r="L121" s="6"/>
      <c r="M121" s="6"/>
      <c r="N121" s="6"/>
      <c r="O121" s="6"/>
      <c r="P121" s="6"/>
      <c r="Q121" s="6"/>
      <c r="R121" s="6"/>
      <c r="S121" s="6"/>
    </row>
    <row r="122" spans="3:19" ht="15">
      <c r="C122" s="6"/>
      <c r="D122" s="6"/>
      <c r="E122" s="6"/>
      <c r="F122" s="6"/>
      <c r="G122" s="6"/>
      <c r="H122" s="6"/>
      <c r="I122" s="6"/>
      <c r="J122" s="6"/>
      <c r="K122" s="6"/>
      <c r="L122" s="6"/>
      <c r="M122" s="6"/>
      <c r="N122" s="6"/>
      <c r="O122" s="6"/>
      <c r="P122" s="6"/>
      <c r="Q122" s="6"/>
      <c r="R122" s="6"/>
      <c r="S122" s="6"/>
    </row>
    <row r="123" spans="3:19" ht="15">
      <c r="C123" s="6"/>
      <c r="D123" s="6"/>
      <c r="E123" s="6"/>
      <c r="F123" s="6"/>
      <c r="G123" s="6"/>
      <c r="H123" s="6"/>
      <c r="I123" s="6"/>
      <c r="J123" s="6"/>
      <c r="K123" s="6"/>
      <c r="L123" s="6"/>
      <c r="M123" s="6"/>
      <c r="N123" s="6"/>
      <c r="O123" s="6"/>
      <c r="P123" s="6"/>
      <c r="Q123" s="6"/>
      <c r="R123" s="6"/>
      <c r="S123" s="6"/>
    </row>
    <row r="124" spans="3:19" ht="15">
      <c r="C124" s="6"/>
      <c r="D124" s="6"/>
      <c r="E124" s="6"/>
      <c r="F124" s="6"/>
      <c r="G124" s="6"/>
      <c r="H124" s="6"/>
      <c r="I124" s="6"/>
      <c r="J124" s="6"/>
      <c r="K124" s="6"/>
      <c r="L124" s="6"/>
      <c r="M124" s="6"/>
      <c r="N124" s="6"/>
      <c r="O124" s="6"/>
      <c r="P124" s="6"/>
      <c r="Q124" s="6"/>
      <c r="R124" s="6"/>
      <c r="S124" s="6"/>
    </row>
    <row r="125" spans="3:19" ht="15">
      <c r="C125" s="6"/>
      <c r="D125" s="6"/>
      <c r="E125" s="6"/>
      <c r="F125" s="6"/>
      <c r="G125" s="6"/>
      <c r="H125" s="6"/>
      <c r="I125" s="6"/>
      <c r="J125" s="6"/>
      <c r="K125" s="6"/>
      <c r="L125" s="6"/>
      <c r="M125" s="6"/>
      <c r="N125" s="6"/>
      <c r="O125" s="6"/>
      <c r="P125" s="6"/>
      <c r="Q125" s="6"/>
      <c r="R125" s="6"/>
      <c r="S125" s="6"/>
    </row>
    <row r="126" spans="3:19" ht="15">
      <c r="C126" s="6"/>
      <c r="D126" s="6"/>
      <c r="E126" s="6"/>
      <c r="F126" s="6"/>
      <c r="G126" s="6"/>
      <c r="H126" s="6"/>
      <c r="I126" s="6"/>
      <c r="J126" s="6"/>
      <c r="K126" s="6"/>
      <c r="L126" s="6"/>
      <c r="M126" s="6"/>
      <c r="N126" s="6"/>
      <c r="O126" s="6"/>
      <c r="P126" s="6"/>
      <c r="Q126" s="6"/>
      <c r="R126" s="6"/>
      <c r="S126" s="6"/>
    </row>
    <row r="127" spans="3:19" ht="15">
      <c r="C127" s="6"/>
      <c r="D127" s="6"/>
      <c r="E127" s="6"/>
      <c r="F127" s="6"/>
      <c r="G127" s="6"/>
      <c r="H127" s="6"/>
      <c r="I127" s="6"/>
      <c r="J127" s="6"/>
      <c r="K127" s="6"/>
      <c r="L127" s="6"/>
      <c r="M127" s="6"/>
      <c r="N127" s="6"/>
      <c r="O127" s="6"/>
      <c r="P127" s="6"/>
      <c r="Q127" s="6"/>
      <c r="R127" s="6"/>
      <c r="S127" s="6"/>
    </row>
    <row r="128" spans="3:19" ht="15">
      <c r="C128" s="6"/>
      <c r="D128" s="6"/>
      <c r="E128" s="6"/>
      <c r="F128" s="6"/>
      <c r="G128" s="6"/>
      <c r="H128" s="6"/>
      <c r="I128" s="6"/>
      <c r="J128" s="6"/>
      <c r="K128" s="6"/>
      <c r="L128" s="6"/>
      <c r="M128" s="6"/>
      <c r="N128" s="6"/>
      <c r="O128" s="6"/>
      <c r="P128" s="6"/>
      <c r="Q128" s="6"/>
      <c r="R128" s="6"/>
      <c r="S128" s="6"/>
    </row>
    <row r="129" spans="3:19" ht="15">
      <c r="C129" s="6"/>
      <c r="D129" s="6"/>
      <c r="E129" s="6"/>
      <c r="F129" s="6"/>
      <c r="G129" s="6"/>
      <c r="H129" s="6"/>
      <c r="I129" s="6"/>
      <c r="J129" s="6"/>
      <c r="K129" s="6"/>
      <c r="L129" s="6"/>
      <c r="M129" s="6"/>
      <c r="N129" s="6"/>
      <c r="O129" s="6"/>
      <c r="P129" s="6"/>
      <c r="Q129" s="6"/>
      <c r="R129" s="6"/>
      <c r="S129" s="6"/>
    </row>
    <row r="130" spans="3:19" ht="15">
      <c r="C130" s="6"/>
      <c r="D130" s="6"/>
      <c r="E130" s="6"/>
      <c r="F130" s="6"/>
      <c r="G130" s="6"/>
      <c r="H130" s="6"/>
      <c r="I130" s="6"/>
      <c r="J130" s="6"/>
      <c r="K130" s="6"/>
      <c r="L130" s="6"/>
      <c r="M130" s="6"/>
      <c r="N130" s="6"/>
      <c r="O130" s="6"/>
      <c r="P130" s="6"/>
      <c r="Q130" s="6"/>
      <c r="R130" s="6"/>
      <c r="S130" s="6"/>
    </row>
    <row r="131" spans="3:19" ht="15">
      <c r="C131" s="6"/>
      <c r="D131" s="6"/>
      <c r="E131" s="6"/>
      <c r="F131" s="6"/>
      <c r="G131" s="6"/>
      <c r="H131" s="6"/>
      <c r="I131" s="6"/>
      <c r="J131" s="6"/>
      <c r="K131" s="6"/>
      <c r="L131" s="6"/>
      <c r="M131" s="6"/>
      <c r="N131" s="6"/>
      <c r="O131" s="6"/>
      <c r="P131" s="6"/>
      <c r="Q131" s="6"/>
      <c r="R131" s="6"/>
      <c r="S131" s="6"/>
    </row>
    <row r="132" spans="3:19" ht="15">
      <c r="C132" s="6"/>
      <c r="D132" s="6"/>
      <c r="E132" s="6"/>
      <c r="F132" s="6"/>
      <c r="G132" s="6"/>
      <c r="H132" s="6"/>
      <c r="I132" s="6"/>
      <c r="J132" s="6"/>
      <c r="K132" s="6"/>
      <c r="L132" s="6"/>
      <c r="M132" s="6"/>
      <c r="N132" s="6"/>
      <c r="O132" s="6"/>
      <c r="P132" s="6"/>
      <c r="Q132" s="6"/>
      <c r="R132" s="6"/>
      <c r="S132" s="6"/>
    </row>
    <row r="133" spans="3:19" ht="15">
      <c r="C133" s="6"/>
      <c r="D133" s="6"/>
      <c r="E133" s="6"/>
      <c r="F133" s="6"/>
      <c r="G133" s="6"/>
      <c r="H133" s="6"/>
      <c r="I133" s="6"/>
      <c r="J133" s="6"/>
      <c r="K133" s="6"/>
      <c r="L133" s="6"/>
      <c r="M133" s="6"/>
      <c r="N133" s="6"/>
      <c r="O133" s="6"/>
      <c r="P133" s="6"/>
      <c r="Q133" s="6"/>
      <c r="R133" s="6"/>
      <c r="S133" s="6"/>
    </row>
    <row r="134" spans="3:19" ht="15">
      <c r="C134" s="6"/>
      <c r="D134" s="6"/>
      <c r="E134" s="6"/>
      <c r="F134" s="6"/>
      <c r="G134" s="6"/>
      <c r="H134" s="6"/>
      <c r="I134" s="6"/>
      <c r="J134" s="6"/>
      <c r="K134" s="6"/>
      <c r="L134" s="6"/>
      <c r="M134" s="6"/>
      <c r="N134" s="6"/>
      <c r="O134" s="6"/>
      <c r="P134" s="6"/>
      <c r="Q134" s="6"/>
      <c r="R134" s="6"/>
      <c r="S134" s="6"/>
    </row>
    <row r="135" spans="3:19" ht="15">
      <c r="C135" s="6"/>
      <c r="D135" s="6"/>
      <c r="E135" s="6"/>
      <c r="F135" s="6"/>
      <c r="G135" s="6"/>
      <c r="H135" s="6"/>
      <c r="I135" s="6"/>
      <c r="J135" s="6"/>
      <c r="K135" s="6"/>
      <c r="L135" s="6"/>
      <c r="M135" s="6"/>
      <c r="N135" s="6"/>
      <c r="O135" s="6"/>
      <c r="P135" s="6"/>
      <c r="Q135" s="6"/>
      <c r="R135" s="6"/>
      <c r="S135" s="6"/>
    </row>
    <row r="136" spans="3:19" ht="15">
      <c r="C136" s="6"/>
      <c r="D136" s="6"/>
      <c r="E136" s="6"/>
      <c r="F136" s="6"/>
      <c r="G136" s="6"/>
      <c r="H136" s="6"/>
      <c r="I136" s="6"/>
      <c r="J136" s="6"/>
      <c r="K136" s="6"/>
      <c r="L136" s="6"/>
      <c r="M136" s="6"/>
      <c r="N136" s="6"/>
      <c r="O136" s="6"/>
      <c r="P136" s="6"/>
      <c r="Q136" s="6"/>
      <c r="R136" s="6"/>
      <c r="S136" s="6"/>
    </row>
    <row r="137" spans="3:19" ht="15">
      <c r="C137" s="6"/>
      <c r="D137" s="6"/>
      <c r="E137" s="6"/>
      <c r="F137" s="6"/>
      <c r="G137" s="6"/>
      <c r="H137" s="6"/>
      <c r="I137" s="6"/>
      <c r="J137" s="6"/>
      <c r="K137" s="6"/>
      <c r="L137" s="6"/>
      <c r="M137" s="6"/>
      <c r="N137" s="6"/>
      <c r="O137" s="6"/>
      <c r="P137" s="6"/>
      <c r="Q137" s="6"/>
      <c r="R137" s="6"/>
      <c r="S137" s="6"/>
    </row>
    <row r="138" spans="3:19" ht="15">
      <c r="C138" s="6"/>
      <c r="D138" s="6"/>
      <c r="E138" s="6"/>
      <c r="F138" s="6"/>
      <c r="G138" s="6"/>
      <c r="H138" s="6"/>
      <c r="I138" s="6"/>
      <c r="J138" s="6"/>
      <c r="K138" s="6"/>
      <c r="L138" s="6"/>
      <c r="M138" s="6"/>
      <c r="N138" s="6"/>
      <c r="O138" s="6"/>
      <c r="P138" s="6"/>
      <c r="Q138" s="6"/>
      <c r="R138" s="6"/>
      <c r="S138" s="6"/>
    </row>
    <row r="139" spans="3:19" ht="15">
      <c r="C139" s="6"/>
      <c r="D139" s="6"/>
      <c r="E139" s="6"/>
      <c r="F139" s="6"/>
      <c r="G139" s="6"/>
      <c r="H139" s="6"/>
      <c r="I139" s="6"/>
      <c r="J139" s="6"/>
      <c r="K139" s="6"/>
      <c r="L139" s="6"/>
      <c r="M139" s="6"/>
      <c r="N139" s="6"/>
      <c r="O139" s="6"/>
      <c r="P139" s="6"/>
      <c r="Q139" s="6"/>
      <c r="R139" s="6"/>
      <c r="S139" s="6"/>
    </row>
    <row r="140" spans="3:19" ht="15">
      <c r="C140" s="6"/>
      <c r="D140" s="6"/>
      <c r="E140" s="6"/>
      <c r="F140" s="6"/>
      <c r="G140" s="6"/>
      <c r="H140" s="6"/>
      <c r="I140" s="6"/>
      <c r="J140" s="6"/>
      <c r="K140" s="6"/>
      <c r="L140" s="6"/>
      <c r="M140" s="6"/>
      <c r="N140" s="6"/>
      <c r="O140" s="6"/>
      <c r="P140" s="6"/>
      <c r="Q140" s="6"/>
      <c r="R140" s="6"/>
      <c r="S140" s="6"/>
    </row>
    <row r="141" spans="3:19" ht="15">
      <c r="C141" s="6"/>
      <c r="D141" s="6"/>
      <c r="E141" s="6"/>
      <c r="F141" s="6"/>
      <c r="G141" s="6"/>
      <c r="H141" s="6"/>
      <c r="I141" s="6"/>
      <c r="J141" s="6"/>
      <c r="K141" s="6"/>
      <c r="L141" s="6"/>
      <c r="M141" s="6"/>
      <c r="N141" s="6"/>
      <c r="O141" s="6"/>
      <c r="P141" s="6"/>
      <c r="Q141" s="6"/>
      <c r="R141" s="6"/>
      <c r="S141" s="6"/>
    </row>
    <row r="142" spans="3:19" ht="15">
      <c r="C142" s="6"/>
      <c r="D142" s="6"/>
      <c r="E142" s="6"/>
      <c r="F142" s="6"/>
      <c r="G142" s="6"/>
      <c r="H142" s="6"/>
      <c r="I142" s="6"/>
      <c r="J142" s="6"/>
      <c r="K142" s="6"/>
      <c r="L142" s="6"/>
      <c r="M142" s="6"/>
      <c r="N142" s="6"/>
      <c r="O142" s="6"/>
      <c r="P142" s="6"/>
      <c r="Q142" s="6"/>
      <c r="R142" s="6"/>
      <c r="S142" s="6"/>
    </row>
    <row r="143" spans="3:19" ht="15">
      <c r="C143" s="6"/>
      <c r="D143" s="6"/>
      <c r="E143" s="6"/>
      <c r="F143" s="6"/>
      <c r="G143" s="6"/>
      <c r="H143" s="6"/>
      <c r="I143" s="6"/>
      <c r="J143" s="6"/>
      <c r="K143" s="6"/>
      <c r="L143" s="6"/>
      <c r="M143" s="6"/>
      <c r="N143" s="6"/>
      <c r="O143" s="6"/>
      <c r="P143" s="6"/>
      <c r="Q143" s="6"/>
      <c r="R143" s="6"/>
      <c r="S143" s="6"/>
    </row>
    <row r="144" spans="3:19" ht="15">
      <c r="C144" s="6"/>
      <c r="D144" s="6"/>
      <c r="E144" s="6"/>
      <c r="F144" s="6"/>
      <c r="G144" s="6"/>
      <c r="H144" s="6"/>
      <c r="I144" s="6"/>
      <c r="J144" s="6"/>
      <c r="K144" s="6"/>
      <c r="L144" s="6"/>
      <c r="M144" s="6"/>
      <c r="N144" s="6"/>
      <c r="O144" s="6"/>
      <c r="P144" s="6"/>
      <c r="Q144" s="6"/>
      <c r="R144" s="6"/>
      <c r="S144" s="6"/>
    </row>
    <row r="145" spans="3:19" ht="15">
      <c r="C145" s="6"/>
      <c r="D145" s="6"/>
      <c r="E145" s="6"/>
      <c r="F145" s="6"/>
      <c r="G145" s="6"/>
      <c r="H145" s="6"/>
      <c r="I145" s="6"/>
      <c r="J145" s="6"/>
      <c r="K145" s="6"/>
      <c r="L145" s="6"/>
      <c r="M145" s="6"/>
      <c r="N145" s="6"/>
      <c r="O145" s="6"/>
      <c r="P145" s="6"/>
      <c r="Q145" s="6"/>
      <c r="R145" s="6"/>
      <c r="S145" s="6"/>
    </row>
    <row r="146" spans="3:19" ht="15">
      <c r="C146" s="6"/>
      <c r="D146" s="6"/>
      <c r="E146" s="6"/>
      <c r="F146" s="6"/>
      <c r="G146" s="6"/>
      <c r="H146" s="6"/>
      <c r="I146" s="6"/>
      <c r="J146" s="6"/>
      <c r="K146" s="6"/>
      <c r="L146" s="6"/>
      <c r="M146" s="6"/>
      <c r="N146" s="6"/>
      <c r="O146" s="6"/>
      <c r="P146" s="6"/>
      <c r="Q146" s="6"/>
      <c r="R146" s="6"/>
      <c r="S146" s="6"/>
    </row>
    <row r="147" spans="3:19" ht="15">
      <c r="C147" s="6"/>
      <c r="D147" s="6"/>
      <c r="E147" s="6"/>
      <c r="F147" s="6"/>
      <c r="G147" s="6"/>
      <c r="H147" s="6"/>
      <c r="I147" s="6"/>
      <c r="J147" s="6"/>
      <c r="K147" s="6"/>
      <c r="L147" s="6"/>
      <c r="M147" s="6"/>
      <c r="N147" s="6"/>
      <c r="O147" s="6"/>
      <c r="P147" s="6"/>
      <c r="Q147" s="6"/>
      <c r="R147" s="6"/>
      <c r="S147" s="6"/>
    </row>
    <row r="148" spans="3:19" ht="15">
      <c r="C148" s="6"/>
      <c r="D148" s="6"/>
      <c r="E148" s="6"/>
      <c r="F148" s="6"/>
      <c r="G148" s="6"/>
      <c r="H148" s="6"/>
      <c r="I148" s="6"/>
      <c r="J148" s="6"/>
      <c r="K148" s="6"/>
      <c r="L148" s="6"/>
      <c r="M148" s="6"/>
      <c r="N148" s="6"/>
      <c r="O148" s="6"/>
      <c r="P148" s="6"/>
      <c r="Q148" s="6"/>
      <c r="R148" s="6"/>
      <c r="S148" s="6"/>
    </row>
    <row r="149" spans="3:19" ht="15">
      <c r="C149" s="6"/>
      <c r="D149" s="6"/>
      <c r="E149" s="6"/>
      <c r="F149" s="6"/>
      <c r="G149" s="6"/>
      <c r="H149" s="6"/>
      <c r="I149" s="6"/>
      <c r="J149" s="6"/>
      <c r="K149" s="6"/>
      <c r="L149" s="6"/>
      <c r="M149" s="6"/>
      <c r="N149" s="6"/>
      <c r="O149" s="6"/>
      <c r="P149" s="6"/>
      <c r="Q149" s="6"/>
      <c r="R149" s="6"/>
      <c r="S149" s="6"/>
    </row>
    <row r="150" spans="3:19" ht="15">
      <c r="C150" s="6"/>
      <c r="D150" s="6"/>
      <c r="E150" s="6"/>
      <c r="F150" s="6"/>
      <c r="G150" s="6"/>
      <c r="H150" s="6"/>
      <c r="I150" s="6"/>
      <c r="J150" s="6"/>
      <c r="K150" s="6"/>
      <c r="L150" s="6"/>
      <c r="M150" s="6"/>
      <c r="N150" s="6"/>
      <c r="O150" s="6"/>
      <c r="P150" s="6"/>
      <c r="Q150" s="6"/>
      <c r="R150" s="6"/>
      <c r="S150" s="6"/>
    </row>
    <row r="151" spans="3:19" ht="15">
      <c r="C151" s="6"/>
      <c r="D151" s="6"/>
      <c r="E151" s="6"/>
      <c r="F151" s="6"/>
      <c r="G151" s="6"/>
      <c r="H151" s="6"/>
      <c r="I151" s="6"/>
      <c r="J151" s="6"/>
      <c r="K151" s="6"/>
      <c r="L151" s="6"/>
      <c r="M151" s="6"/>
      <c r="N151" s="6"/>
      <c r="O151" s="6"/>
      <c r="P151" s="6"/>
      <c r="Q151" s="6"/>
      <c r="R151" s="6"/>
      <c r="S151" s="6"/>
    </row>
    <row r="152" spans="3:19" ht="15">
      <c r="C152" s="6"/>
      <c r="D152" s="6"/>
      <c r="E152" s="6"/>
      <c r="F152" s="6"/>
      <c r="G152" s="6"/>
      <c r="H152" s="6"/>
      <c r="I152" s="6"/>
      <c r="J152" s="6"/>
      <c r="K152" s="6"/>
      <c r="L152" s="6"/>
      <c r="M152" s="6"/>
      <c r="N152" s="6"/>
      <c r="O152" s="6"/>
      <c r="P152" s="6"/>
      <c r="Q152" s="6"/>
      <c r="R152" s="6"/>
      <c r="S152" s="6"/>
    </row>
    <row r="153" spans="3:19" ht="15">
      <c r="C153" s="6"/>
      <c r="D153" s="6"/>
      <c r="E153" s="6"/>
      <c r="F153" s="6"/>
      <c r="G153" s="6"/>
      <c r="H153" s="6"/>
      <c r="I153" s="6"/>
      <c r="J153" s="6"/>
      <c r="K153" s="6"/>
      <c r="L153" s="6"/>
      <c r="M153" s="6"/>
      <c r="N153" s="6"/>
      <c r="O153" s="6"/>
      <c r="P153" s="6"/>
      <c r="Q153" s="6"/>
      <c r="R153" s="6"/>
      <c r="S153" s="6"/>
    </row>
    <row r="154" spans="3:19" ht="15">
      <c r="C154" s="6"/>
      <c r="D154" s="6"/>
      <c r="E154" s="6"/>
      <c r="F154" s="6"/>
      <c r="G154" s="6"/>
      <c r="H154" s="6"/>
      <c r="I154" s="6"/>
      <c r="J154" s="6"/>
      <c r="K154" s="6"/>
      <c r="L154" s="6"/>
      <c r="M154" s="6"/>
      <c r="N154" s="6"/>
      <c r="O154" s="6"/>
      <c r="P154" s="6"/>
      <c r="Q154" s="6"/>
      <c r="R154" s="6"/>
      <c r="S154" s="6"/>
    </row>
    <row r="155" spans="3:19" ht="15">
      <c r="C155" s="6"/>
      <c r="D155" s="6"/>
      <c r="E155" s="6"/>
      <c r="F155" s="6"/>
      <c r="G155" s="6"/>
      <c r="H155" s="6"/>
      <c r="I155" s="6"/>
      <c r="J155" s="6"/>
      <c r="K155" s="6"/>
      <c r="L155" s="6"/>
      <c r="M155" s="6"/>
      <c r="N155" s="6"/>
      <c r="O155" s="6"/>
      <c r="P155" s="6"/>
      <c r="Q155" s="6"/>
      <c r="R155" s="6"/>
      <c r="S155" s="6"/>
    </row>
    <row r="156" spans="3:19" ht="15">
      <c r="C156" s="6"/>
      <c r="D156" s="6"/>
      <c r="E156" s="6"/>
      <c r="F156" s="6"/>
      <c r="G156" s="6"/>
      <c r="H156" s="6"/>
      <c r="I156" s="6"/>
      <c r="J156" s="6"/>
      <c r="K156" s="6"/>
      <c r="L156" s="6"/>
      <c r="M156" s="6"/>
      <c r="N156" s="6"/>
      <c r="O156" s="6"/>
      <c r="P156" s="6"/>
      <c r="Q156" s="6"/>
      <c r="R156" s="6"/>
      <c r="S156" s="6"/>
    </row>
    <row r="157" spans="3:19" ht="15">
      <c r="C157" s="6"/>
      <c r="D157" s="6"/>
      <c r="E157" s="6"/>
      <c r="F157" s="6"/>
      <c r="G157" s="6"/>
      <c r="H157" s="6"/>
      <c r="I157" s="6"/>
      <c r="J157" s="6"/>
      <c r="K157" s="6"/>
      <c r="L157" s="6"/>
      <c r="M157" s="6"/>
      <c r="N157" s="6"/>
      <c r="O157" s="6"/>
      <c r="P157" s="6"/>
      <c r="Q157" s="6"/>
      <c r="R157" s="6"/>
      <c r="S157" s="6"/>
    </row>
    <row r="158" spans="3:19" ht="15">
      <c r="C158" s="6"/>
      <c r="D158" s="6"/>
      <c r="E158" s="6"/>
      <c r="F158" s="6"/>
      <c r="G158" s="6"/>
      <c r="H158" s="6"/>
      <c r="I158" s="6"/>
      <c r="J158" s="6"/>
      <c r="K158" s="6"/>
      <c r="L158" s="6"/>
      <c r="M158" s="6"/>
      <c r="N158" s="6"/>
      <c r="O158" s="6"/>
      <c r="P158" s="6"/>
      <c r="Q158" s="6"/>
      <c r="R158" s="6"/>
      <c r="S158" s="6"/>
    </row>
    <row r="159" spans="3:19" ht="15">
      <c r="C159" s="6"/>
      <c r="D159" s="6"/>
      <c r="E159" s="6"/>
      <c r="F159" s="6"/>
      <c r="G159" s="6"/>
      <c r="H159" s="6"/>
      <c r="I159" s="6"/>
      <c r="J159" s="6"/>
      <c r="K159" s="6"/>
      <c r="L159" s="6"/>
      <c r="M159" s="6"/>
      <c r="N159" s="6"/>
      <c r="O159" s="6"/>
      <c r="P159" s="6"/>
      <c r="Q159" s="6"/>
      <c r="R159" s="6"/>
      <c r="S159" s="6"/>
    </row>
    <row r="160" spans="3:19" ht="15">
      <c r="C160" s="6"/>
      <c r="D160" s="6"/>
      <c r="E160" s="6"/>
      <c r="F160" s="6"/>
      <c r="G160" s="6"/>
      <c r="H160" s="6"/>
      <c r="I160" s="6"/>
      <c r="J160" s="6"/>
      <c r="K160" s="6"/>
      <c r="L160" s="6"/>
      <c r="M160" s="6"/>
      <c r="N160" s="6"/>
      <c r="O160" s="6"/>
      <c r="P160" s="6"/>
      <c r="Q160" s="6"/>
      <c r="R160" s="6"/>
      <c r="S160" s="6"/>
    </row>
    <row r="161" spans="3:19" ht="15">
      <c r="C161" s="6"/>
      <c r="D161" s="6"/>
      <c r="E161" s="6"/>
      <c r="F161" s="6"/>
      <c r="G161" s="6"/>
      <c r="H161" s="6"/>
      <c r="I161" s="6"/>
      <c r="J161" s="6"/>
      <c r="K161" s="6"/>
      <c r="L161" s="6"/>
      <c r="M161" s="6"/>
      <c r="N161" s="6"/>
      <c r="O161" s="6"/>
      <c r="P161" s="6"/>
      <c r="Q161" s="6"/>
      <c r="R161" s="6"/>
      <c r="S161" s="6"/>
    </row>
    <row r="162" spans="3:19" ht="15">
      <c r="C162" s="6"/>
      <c r="D162" s="6"/>
      <c r="E162" s="6"/>
      <c r="F162" s="6"/>
      <c r="G162" s="6"/>
      <c r="H162" s="6"/>
      <c r="I162" s="6"/>
      <c r="J162" s="6"/>
      <c r="K162" s="6"/>
      <c r="L162" s="6"/>
      <c r="M162" s="6"/>
      <c r="N162" s="6"/>
      <c r="O162" s="6"/>
      <c r="P162" s="6"/>
      <c r="Q162" s="6"/>
      <c r="R162" s="6"/>
      <c r="S162" s="6"/>
    </row>
    <row r="163" spans="3:19" ht="15">
      <c r="C163" s="6"/>
      <c r="D163" s="6"/>
      <c r="E163" s="6"/>
      <c r="F163" s="6"/>
      <c r="G163" s="6"/>
      <c r="H163" s="6"/>
      <c r="I163" s="6"/>
      <c r="J163" s="6"/>
      <c r="K163" s="6"/>
      <c r="L163" s="6"/>
      <c r="M163" s="6"/>
      <c r="N163" s="6"/>
      <c r="O163" s="6"/>
      <c r="P163" s="6"/>
      <c r="Q163" s="6"/>
      <c r="R163" s="6"/>
      <c r="S163" s="6"/>
    </row>
    <row r="164" spans="3:19" ht="15">
      <c r="C164" s="6"/>
      <c r="D164" s="6"/>
      <c r="E164" s="6"/>
      <c r="F164" s="6"/>
      <c r="G164" s="6"/>
      <c r="H164" s="6"/>
      <c r="I164" s="6"/>
      <c r="J164" s="6"/>
      <c r="K164" s="6"/>
      <c r="L164" s="6"/>
      <c r="M164" s="6"/>
      <c r="N164" s="6"/>
      <c r="O164" s="6"/>
      <c r="P164" s="6"/>
      <c r="Q164" s="6"/>
      <c r="R164" s="6"/>
      <c r="S164" s="6"/>
    </row>
    <row r="165" spans="3:19" ht="15">
      <c r="C165" s="6"/>
      <c r="D165" s="6"/>
      <c r="E165" s="6"/>
      <c r="F165" s="6"/>
      <c r="G165" s="6"/>
      <c r="H165" s="6"/>
      <c r="I165" s="6"/>
      <c r="J165" s="6"/>
      <c r="K165" s="6"/>
      <c r="L165" s="6"/>
      <c r="M165" s="6"/>
      <c r="N165" s="6"/>
      <c r="O165" s="6"/>
      <c r="P165" s="6"/>
      <c r="Q165" s="6"/>
      <c r="R165" s="6"/>
      <c r="S165" s="6"/>
    </row>
    <row r="166" spans="3:19" ht="15">
      <c r="C166" s="6"/>
      <c r="D166" s="6"/>
      <c r="E166" s="6"/>
      <c r="F166" s="6"/>
      <c r="G166" s="6"/>
      <c r="H166" s="6"/>
      <c r="I166" s="6"/>
      <c r="J166" s="6"/>
      <c r="K166" s="6"/>
      <c r="L166" s="6"/>
      <c r="M166" s="6"/>
      <c r="N166" s="6"/>
      <c r="O166" s="6"/>
      <c r="P166" s="6"/>
      <c r="Q166" s="6"/>
      <c r="R166" s="6"/>
      <c r="S166" s="6"/>
    </row>
    <row r="167" spans="3:19" ht="15">
      <c r="C167" s="6"/>
      <c r="D167" s="6"/>
      <c r="E167" s="6"/>
      <c r="F167" s="6"/>
      <c r="G167" s="6"/>
      <c r="H167" s="6"/>
      <c r="I167" s="6"/>
      <c r="J167" s="6"/>
      <c r="K167" s="6"/>
      <c r="L167" s="6"/>
      <c r="M167" s="6"/>
      <c r="N167" s="6"/>
      <c r="O167" s="6"/>
      <c r="P167" s="6"/>
      <c r="Q167" s="6"/>
      <c r="R167" s="6"/>
      <c r="S167" s="6"/>
    </row>
    <row r="168" spans="3:19" ht="15">
      <c r="C168" s="6"/>
      <c r="D168" s="6"/>
      <c r="E168" s="6"/>
      <c r="F168" s="6"/>
      <c r="G168" s="6"/>
      <c r="H168" s="6"/>
      <c r="I168" s="6"/>
      <c r="J168" s="6"/>
      <c r="K168" s="6"/>
      <c r="L168" s="6"/>
      <c r="M168" s="6"/>
      <c r="N168" s="6"/>
      <c r="O168" s="6"/>
      <c r="P168" s="6"/>
      <c r="Q168" s="6"/>
      <c r="R168" s="6"/>
      <c r="S168" s="6"/>
    </row>
    <row r="169" spans="3:19" ht="15">
      <c r="C169" s="6"/>
      <c r="D169" s="6"/>
      <c r="E169" s="6"/>
      <c r="F169" s="6"/>
      <c r="G169" s="6"/>
      <c r="H169" s="6"/>
      <c r="I169" s="6"/>
      <c r="J169" s="6"/>
      <c r="K169" s="6"/>
      <c r="L169" s="6"/>
      <c r="M169" s="6"/>
      <c r="N169" s="6"/>
      <c r="O169" s="6"/>
      <c r="P169" s="6"/>
      <c r="Q169" s="6"/>
      <c r="R169" s="6"/>
      <c r="S169" s="6"/>
    </row>
    <row r="170" spans="3:19" ht="15">
      <c r="C170" s="6"/>
      <c r="D170" s="6"/>
      <c r="E170" s="6"/>
      <c r="F170" s="6"/>
      <c r="G170" s="6"/>
      <c r="H170" s="6"/>
      <c r="I170" s="6"/>
      <c r="J170" s="6"/>
      <c r="K170" s="6"/>
      <c r="L170" s="6"/>
      <c r="M170" s="6"/>
      <c r="N170" s="6"/>
      <c r="O170" s="6"/>
      <c r="P170" s="6"/>
      <c r="Q170" s="6"/>
      <c r="R170" s="6"/>
      <c r="S170" s="6"/>
    </row>
    <row r="171" spans="3:19" ht="15">
      <c r="C171" s="6"/>
      <c r="D171" s="6"/>
      <c r="E171" s="6"/>
      <c r="F171" s="6"/>
      <c r="G171" s="6"/>
      <c r="H171" s="6"/>
      <c r="I171" s="6"/>
      <c r="J171" s="6"/>
      <c r="K171" s="6"/>
      <c r="L171" s="6"/>
      <c r="M171" s="6"/>
      <c r="N171" s="6"/>
      <c r="O171" s="6"/>
      <c r="P171" s="6"/>
      <c r="Q171" s="6"/>
      <c r="R171" s="6"/>
      <c r="S171" s="6"/>
    </row>
    <row r="172" spans="3:19" ht="15">
      <c r="C172" s="6"/>
      <c r="D172" s="6"/>
      <c r="E172" s="6"/>
      <c r="F172" s="6"/>
      <c r="G172" s="6"/>
      <c r="H172" s="6"/>
      <c r="I172" s="6"/>
      <c r="J172" s="6"/>
      <c r="K172" s="6"/>
      <c r="L172" s="6"/>
      <c r="M172" s="6"/>
      <c r="N172" s="6"/>
      <c r="O172" s="6"/>
      <c r="P172" s="6"/>
      <c r="Q172" s="6"/>
      <c r="R172" s="6"/>
      <c r="S172" s="6"/>
    </row>
    <row r="173" spans="3:19" ht="15">
      <c r="C173" s="6"/>
      <c r="D173" s="6"/>
      <c r="E173" s="6"/>
      <c r="F173" s="6"/>
      <c r="G173" s="6"/>
      <c r="H173" s="6"/>
      <c r="I173" s="6"/>
      <c r="J173" s="6"/>
      <c r="K173" s="6"/>
      <c r="L173" s="6"/>
      <c r="M173" s="6"/>
      <c r="N173" s="6"/>
      <c r="O173" s="6"/>
      <c r="P173" s="6"/>
      <c r="Q173" s="6"/>
      <c r="R173" s="6"/>
      <c r="S173" s="6"/>
    </row>
    <row r="174" spans="3:19" ht="15">
      <c r="C174" s="6"/>
      <c r="D174" s="6"/>
      <c r="E174" s="6"/>
      <c r="F174" s="6"/>
      <c r="G174" s="6"/>
      <c r="H174" s="6"/>
      <c r="I174" s="6"/>
      <c r="J174" s="6"/>
      <c r="K174" s="6"/>
      <c r="L174" s="6"/>
      <c r="M174" s="6"/>
      <c r="N174" s="6"/>
      <c r="O174" s="6"/>
      <c r="P174" s="6"/>
      <c r="Q174" s="6"/>
      <c r="R174" s="6"/>
      <c r="S174" s="6"/>
    </row>
    <row r="175" spans="3:19" ht="15">
      <c r="C175" s="6"/>
      <c r="D175" s="6"/>
      <c r="E175" s="6"/>
      <c r="F175" s="6"/>
      <c r="G175" s="6"/>
      <c r="H175" s="6"/>
      <c r="I175" s="6"/>
      <c r="J175" s="6"/>
      <c r="K175" s="6"/>
      <c r="L175" s="6"/>
      <c r="M175" s="6"/>
      <c r="N175" s="6"/>
      <c r="O175" s="6"/>
      <c r="P175" s="6"/>
      <c r="Q175" s="6"/>
      <c r="R175" s="6"/>
      <c r="S175" s="6"/>
    </row>
    <row r="176" spans="3:19" ht="15">
      <c r="C176" s="6"/>
      <c r="D176" s="6"/>
      <c r="E176" s="6"/>
      <c r="F176" s="6"/>
      <c r="G176" s="6"/>
      <c r="H176" s="6"/>
      <c r="I176" s="6"/>
      <c r="J176" s="6"/>
      <c r="K176" s="6"/>
      <c r="L176" s="6"/>
      <c r="M176" s="6"/>
      <c r="N176" s="6"/>
      <c r="O176" s="6"/>
      <c r="P176" s="6"/>
      <c r="Q176" s="6"/>
      <c r="R176" s="6"/>
      <c r="S176" s="6"/>
    </row>
    <row r="177" spans="3:19" ht="15">
      <c r="C177" s="6"/>
      <c r="D177" s="6"/>
      <c r="E177" s="6"/>
      <c r="F177" s="6"/>
      <c r="G177" s="6"/>
      <c r="H177" s="6"/>
      <c r="I177" s="6"/>
      <c r="J177" s="6"/>
      <c r="K177" s="6"/>
      <c r="L177" s="6"/>
      <c r="M177" s="6"/>
      <c r="N177" s="6"/>
      <c r="O177" s="6"/>
      <c r="P177" s="6"/>
      <c r="Q177" s="6"/>
      <c r="R177" s="6"/>
      <c r="S177" s="6"/>
    </row>
    <row r="178" spans="3:19" ht="15">
      <c r="C178" s="6"/>
      <c r="D178" s="6"/>
      <c r="E178" s="6"/>
      <c r="F178" s="6"/>
      <c r="G178" s="6"/>
      <c r="H178" s="6"/>
      <c r="I178" s="6"/>
      <c r="J178" s="6"/>
      <c r="K178" s="6"/>
      <c r="L178" s="6"/>
      <c r="M178" s="6"/>
      <c r="N178" s="6"/>
      <c r="O178" s="6"/>
      <c r="P178" s="6"/>
      <c r="Q178" s="6"/>
      <c r="R178" s="6"/>
      <c r="S178" s="6"/>
    </row>
    <row r="179" spans="3:19" ht="15">
      <c r="C179" s="6"/>
      <c r="D179" s="6"/>
      <c r="E179" s="6"/>
      <c r="F179" s="6"/>
      <c r="G179" s="6"/>
      <c r="H179" s="6"/>
      <c r="I179" s="6"/>
      <c r="J179" s="6"/>
      <c r="K179" s="6"/>
      <c r="L179" s="6"/>
      <c r="M179" s="6"/>
      <c r="N179" s="6"/>
      <c r="O179" s="6"/>
      <c r="P179" s="6"/>
      <c r="Q179" s="6"/>
      <c r="R179" s="6"/>
      <c r="S179" s="6"/>
    </row>
    <row r="180" spans="3:19" ht="15">
      <c r="C180" s="6"/>
      <c r="D180" s="6"/>
      <c r="E180" s="6"/>
      <c r="F180" s="6"/>
      <c r="G180" s="6"/>
      <c r="H180" s="6"/>
      <c r="I180" s="6"/>
      <c r="J180" s="6"/>
      <c r="K180" s="6"/>
      <c r="L180" s="6"/>
      <c r="M180" s="6"/>
      <c r="N180" s="6"/>
      <c r="O180" s="6"/>
      <c r="P180" s="6"/>
      <c r="Q180" s="6"/>
      <c r="R180" s="6"/>
      <c r="S180" s="6"/>
    </row>
    <row r="181" spans="3:19" ht="15">
      <c r="C181" s="6"/>
      <c r="D181" s="6"/>
      <c r="E181" s="6"/>
      <c r="F181" s="6"/>
      <c r="G181" s="6"/>
      <c r="H181" s="6"/>
      <c r="I181" s="6"/>
      <c r="J181" s="6"/>
      <c r="K181" s="6"/>
      <c r="L181" s="6"/>
      <c r="M181" s="6"/>
      <c r="N181" s="6"/>
      <c r="O181" s="6"/>
      <c r="P181" s="6"/>
      <c r="Q181" s="6"/>
      <c r="R181" s="6"/>
      <c r="S181" s="6"/>
    </row>
    <row r="182" spans="3:19" ht="15">
      <c r="C182" s="6"/>
      <c r="D182" s="6"/>
      <c r="E182" s="6"/>
      <c r="F182" s="6"/>
      <c r="G182" s="6"/>
      <c r="H182" s="6"/>
      <c r="I182" s="6"/>
      <c r="J182" s="6"/>
      <c r="K182" s="6"/>
      <c r="L182" s="6"/>
      <c r="M182" s="6"/>
      <c r="N182" s="6"/>
      <c r="O182" s="6"/>
      <c r="P182" s="6"/>
      <c r="Q182" s="6"/>
      <c r="R182" s="6"/>
      <c r="S182" s="6"/>
    </row>
    <row r="183" spans="3:19" ht="15">
      <c r="C183" s="6"/>
      <c r="D183" s="6"/>
      <c r="E183" s="6"/>
      <c r="F183" s="6"/>
      <c r="G183" s="6"/>
      <c r="H183" s="6"/>
      <c r="I183" s="6"/>
      <c r="J183" s="6"/>
      <c r="K183" s="6"/>
      <c r="L183" s="6"/>
      <c r="M183" s="6"/>
      <c r="N183" s="6"/>
      <c r="O183" s="6"/>
      <c r="P183" s="6"/>
      <c r="Q183" s="6"/>
      <c r="R183" s="6"/>
      <c r="S183" s="6"/>
    </row>
    <row r="184" spans="3:19" ht="15">
      <c r="C184" s="6"/>
      <c r="D184" s="6"/>
      <c r="E184" s="6"/>
      <c r="F184" s="6"/>
      <c r="G184" s="6"/>
      <c r="H184" s="6"/>
      <c r="I184" s="6"/>
      <c r="J184" s="6"/>
      <c r="K184" s="6"/>
      <c r="L184" s="6"/>
      <c r="M184" s="6"/>
      <c r="N184" s="6"/>
      <c r="O184" s="6"/>
      <c r="P184" s="6"/>
      <c r="Q184" s="6"/>
      <c r="R184" s="6"/>
      <c r="S184" s="6"/>
    </row>
    <row r="185" spans="3:19" ht="15">
      <c r="C185" s="6"/>
      <c r="D185" s="6"/>
      <c r="E185" s="6"/>
      <c r="F185" s="6"/>
      <c r="G185" s="6"/>
      <c r="H185" s="6"/>
      <c r="I185" s="6"/>
      <c r="J185" s="6"/>
      <c r="K185" s="6"/>
      <c r="L185" s="6"/>
      <c r="M185" s="6"/>
      <c r="N185" s="6"/>
      <c r="O185" s="6"/>
      <c r="P185" s="6"/>
      <c r="Q185" s="6"/>
      <c r="R185" s="6"/>
      <c r="S185" s="6"/>
    </row>
    <row r="186" spans="3:19" ht="15">
      <c r="C186" s="6"/>
      <c r="D186" s="6"/>
      <c r="E186" s="6"/>
      <c r="F186" s="6"/>
      <c r="G186" s="6"/>
      <c r="H186" s="6"/>
      <c r="I186" s="6"/>
      <c r="J186" s="6"/>
      <c r="K186" s="6"/>
      <c r="L186" s="6"/>
      <c r="M186" s="6"/>
      <c r="N186" s="6"/>
      <c r="O186" s="6"/>
      <c r="P186" s="6"/>
      <c r="Q186" s="6"/>
      <c r="R186" s="6"/>
      <c r="S186" s="6"/>
    </row>
    <row r="187" spans="3:19" ht="15">
      <c r="C187" s="6"/>
      <c r="D187" s="6"/>
      <c r="E187" s="6"/>
      <c r="F187" s="6"/>
      <c r="G187" s="6"/>
      <c r="H187" s="6"/>
      <c r="I187" s="6"/>
      <c r="J187" s="6"/>
      <c r="K187" s="6"/>
      <c r="L187" s="6"/>
      <c r="M187" s="6"/>
      <c r="N187" s="6"/>
      <c r="O187" s="6"/>
      <c r="P187" s="6"/>
      <c r="Q187" s="6"/>
      <c r="R187" s="6"/>
      <c r="S187" s="6"/>
    </row>
    <row r="188" spans="3:19" ht="15">
      <c r="C188" s="6"/>
      <c r="D188" s="6"/>
      <c r="E188" s="6"/>
      <c r="F188" s="6"/>
      <c r="G188" s="6"/>
      <c r="H188" s="6"/>
      <c r="I188" s="6"/>
      <c r="J188" s="6"/>
      <c r="K188" s="6"/>
      <c r="L188" s="6"/>
      <c r="M188" s="6"/>
      <c r="N188" s="6"/>
      <c r="O188" s="6"/>
      <c r="P188" s="6"/>
      <c r="Q188" s="6"/>
      <c r="R188" s="6"/>
      <c r="S188" s="6"/>
    </row>
    <row r="189" spans="3:19" ht="15">
      <c r="C189" s="6"/>
      <c r="D189" s="6"/>
      <c r="E189" s="6"/>
      <c r="F189" s="6"/>
      <c r="G189" s="6"/>
      <c r="H189" s="6"/>
      <c r="I189" s="6"/>
      <c r="J189" s="6"/>
      <c r="K189" s="6"/>
      <c r="L189" s="6"/>
      <c r="M189" s="6"/>
      <c r="N189" s="6"/>
      <c r="O189" s="6"/>
      <c r="P189" s="6"/>
      <c r="Q189" s="6"/>
      <c r="R189" s="6"/>
      <c r="S189" s="6"/>
    </row>
    <row r="190" spans="3:19" ht="15">
      <c r="C190" s="6"/>
      <c r="D190" s="6"/>
      <c r="E190" s="6"/>
      <c r="F190" s="6"/>
      <c r="G190" s="6"/>
      <c r="H190" s="6"/>
      <c r="I190" s="6"/>
      <c r="J190" s="6"/>
      <c r="K190" s="6"/>
      <c r="L190" s="6"/>
      <c r="M190" s="6"/>
      <c r="N190" s="6"/>
      <c r="O190" s="6"/>
      <c r="P190" s="6"/>
      <c r="Q190" s="6"/>
      <c r="R190" s="6"/>
      <c r="S190" s="6"/>
    </row>
    <row r="191" spans="3:19" ht="15">
      <c r="C191" s="6"/>
      <c r="D191" s="6"/>
      <c r="E191" s="6"/>
      <c r="F191" s="6"/>
      <c r="G191" s="6"/>
      <c r="H191" s="6"/>
      <c r="I191" s="6"/>
      <c r="J191" s="6"/>
      <c r="K191" s="6"/>
      <c r="L191" s="6"/>
      <c r="M191" s="6"/>
      <c r="N191" s="6"/>
      <c r="O191" s="6"/>
      <c r="P191" s="6"/>
      <c r="Q191" s="6"/>
      <c r="R191" s="6"/>
      <c r="S191" s="6"/>
    </row>
    <row r="192" spans="3:19" ht="15">
      <c r="C192" s="6"/>
      <c r="D192" s="6"/>
      <c r="E192" s="6"/>
      <c r="F192" s="6"/>
      <c r="G192" s="6"/>
      <c r="H192" s="6"/>
      <c r="I192" s="6"/>
      <c r="J192" s="6"/>
      <c r="K192" s="6"/>
      <c r="L192" s="6"/>
      <c r="M192" s="6"/>
      <c r="N192" s="6"/>
      <c r="O192" s="6"/>
      <c r="P192" s="6"/>
      <c r="Q192" s="6"/>
      <c r="R192" s="6"/>
      <c r="S192" s="6"/>
    </row>
    <row r="193" spans="3:19" ht="15">
      <c r="C193" s="6"/>
      <c r="D193" s="6"/>
      <c r="E193" s="6"/>
      <c r="F193" s="6"/>
      <c r="G193" s="6"/>
      <c r="H193" s="6"/>
      <c r="I193" s="6"/>
      <c r="J193" s="6"/>
      <c r="K193" s="6"/>
      <c r="L193" s="6"/>
      <c r="M193" s="6"/>
      <c r="N193" s="6"/>
      <c r="O193" s="6"/>
      <c r="P193" s="6"/>
      <c r="Q193" s="6"/>
      <c r="R193" s="6"/>
      <c r="S193" s="6"/>
    </row>
    <row r="194" spans="3:19" ht="15">
      <c r="C194" s="6"/>
      <c r="D194" s="6"/>
      <c r="E194" s="6"/>
      <c r="F194" s="6"/>
      <c r="G194" s="6"/>
      <c r="H194" s="6"/>
      <c r="I194" s="6"/>
      <c r="J194" s="6"/>
      <c r="K194" s="6"/>
      <c r="L194" s="6"/>
      <c r="M194" s="6"/>
      <c r="N194" s="6"/>
      <c r="O194" s="6"/>
      <c r="P194" s="6"/>
      <c r="Q194" s="6"/>
      <c r="R194" s="6"/>
      <c r="S194" s="6"/>
    </row>
    <row r="195" spans="3:19" ht="15">
      <c r="C195" s="6"/>
      <c r="D195" s="6"/>
      <c r="E195" s="6"/>
      <c r="F195" s="6"/>
      <c r="G195" s="6"/>
      <c r="H195" s="6"/>
      <c r="I195" s="6"/>
      <c r="J195" s="6"/>
      <c r="K195" s="6"/>
      <c r="L195" s="6"/>
      <c r="M195" s="6"/>
      <c r="N195" s="6"/>
      <c r="O195" s="6"/>
      <c r="P195" s="6"/>
      <c r="Q195" s="6"/>
      <c r="R195" s="6"/>
      <c r="S195" s="6"/>
    </row>
    <row r="196" spans="3:19" ht="15">
      <c r="C196" s="6"/>
      <c r="D196" s="6"/>
      <c r="E196" s="6"/>
      <c r="F196" s="6"/>
      <c r="G196" s="6"/>
      <c r="H196" s="6"/>
      <c r="I196" s="6"/>
      <c r="J196" s="6"/>
      <c r="K196" s="6"/>
      <c r="L196" s="6"/>
      <c r="M196" s="6"/>
      <c r="N196" s="6"/>
      <c r="O196" s="6"/>
      <c r="P196" s="6"/>
      <c r="Q196" s="6"/>
      <c r="R196" s="6"/>
      <c r="S196" s="6"/>
    </row>
    <row r="197" spans="3:19" ht="15">
      <c r="C197" s="6"/>
      <c r="D197" s="6"/>
      <c r="E197" s="6"/>
      <c r="F197" s="6"/>
      <c r="G197" s="6"/>
      <c r="H197" s="6"/>
      <c r="I197" s="6"/>
      <c r="J197" s="6"/>
      <c r="K197" s="6"/>
      <c r="L197" s="6"/>
      <c r="M197" s="6"/>
      <c r="N197" s="6"/>
      <c r="O197" s="6"/>
      <c r="P197" s="6"/>
      <c r="Q197" s="6"/>
      <c r="R197" s="6"/>
      <c r="S197" s="6"/>
    </row>
    <row r="198" spans="3:19" ht="15">
      <c r="C198" s="6"/>
      <c r="D198" s="6"/>
      <c r="E198" s="6"/>
      <c r="F198" s="6"/>
      <c r="G198" s="6"/>
      <c r="H198" s="6"/>
      <c r="I198" s="6"/>
      <c r="J198" s="6"/>
      <c r="K198" s="6"/>
      <c r="L198" s="6"/>
      <c r="M198" s="6"/>
      <c r="N198" s="6"/>
      <c r="O198" s="6"/>
      <c r="P198" s="6"/>
      <c r="Q198" s="6"/>
      <c r="R198" s="6"/>
      <c r="S198" s="6"/>
    </row>
    <row r="199" spans="3:19" ht="15">
      <c r="C199" s="6"/>
      <c r="D199" s="6"/>
      <c r="E199" s="6"/>
      <c r="F199" s="6"/>
      <c r="G199" s="6"/>
      <c r="H199" s="6"/>
      <c r="I199" s="6"/>
      <c r="J199" s="6"/>
      <c r="K199" s="6"/>
      <c r="L199" s="6"/>
      <c r="M199" s="6"/>
      <c r="N199" s="6"/>
      <c r="O199" s="6"/>
      <c r="P199" s="6"/>
      <c r="Q199" s="6"/>
      <c r="R199" s="6"/>
      <c r="S199" s="6"/>
    </row>
    <row r="200" spans="3:19" ht="15">
      <c r="C200" s="6"/>
      <c r="D200" s="6"/>
      <c r="E200" s="6"/>
      <c r="F200" s="6"/>
      <c r="G200" s="6"/>
      <c r="H200" s="6"/>
      <c r="I200" s="6"/>
      <c r="J200" s="6"/>
      <c r="K200" s="6"/>
      <c r="L200" s="6"/>
      <c r="M200" s="6"/>
      <c r="N200" s="6"/>
      <c r="O200" s="6"/>
      <c r="P200" s="6"/>
      <c r="Q200" s="6"/>
      <c r="R200" s="6"/>
      <c r="S200" s="6"/>
    </row>
    <row r="201" spans="3:19" ht="15">
      <c r="C201" s="6"/>
      <c r="D201" s="6"/>
      <c r="E201" s="6"/>
      <c r="F201" s="6"/>
      <c r="G201" s="6"/>
      <c r="H201" s="6"/>
      <c r="I201" s="6"/>
      <c r="J201" s="6"/>
      <c r="K201" s="6"/>
      <c r="L201" s="6"/>
      <c r="M201" s="6"/>
      <c r="N201" s="6"/>
      <c r="O201" s="6"/>
      <c r="P201" s="6"/>
      <c r="Q201" s="6"/>
      <c r="R201" s="6"/>
      <c r="S201" s="6"/>
    </row>
    <row r="202" spans="3:19" ht="15">
      <c r="C202" s="6"/>
      <c r="D202" s="6"/>
      <c r="E202" s="6"/>
      <c r="F202" s="6"/>
      <c r="G202" s="6"/>
      <c r="H202" s="6"/>
      <c r="I202" s="6"/>
      <c r="J202" s="6"/>
      <c r="K202" s="6"/>
      <c r="L202" s="6"/>
      <c r="M202" s="6"/>
      <c r="N202" s="6"/>
      <c r="O202" s="6"/>
      <c r="P202" s="6"/>
      <c r="Q202" s="6"/>
      <c r="R202" s="6"/>
      <c r="S202" s="6"/>
    </row>
    <row r="203" spans="3:19" ht="15">
      <c r="C203" s="6"/>
      <c r="D203" s="6"/>
      <c r="E203" s="6"/>
      <c r="F203" s="6"/>
      <c r="G203" s="6"/>
      <c r="H203" s="6"/>
      <c r="I203" s="6"/>
      <c r="J203" s="6"/>
      <c r="K203" s="6"/>
      <c r="L203" s="6"/>
      <c r="M203" s="6"/>
      <c r="N203" s="6"/>
      <c r="O203" s="6"/>
      <c r="P203" s="6"/>
      <c r="Q203" s="6"/>
      <c r="R203" s="6"/>
      <c r="S203" s="6"/>
    </row>
    <row r="204" spans="3:19" ht="15">
      <c r="C204" s="6"/>
      <c r="D204" s="6"/>
      <c r="E204" s="6"/>
      <c r="F204" s="6"/>
      <c r="G204" s="6"/>
      <c r="H204" s="6"/>
      <c r="I204" s="6"/>
      <c r="J204" s="6"/>
      <c r="K204" s="6"/>
      <c r="L204" s="6"/>
      <c r="M204" s="6"/>
      <c r="N204" s="6"/>
      <c r="O204" s="6"/>
      <c r="P204" s="6"/>
      <c r="Q204" s="6"/>
      <c r="R204" s="6"/>
      <c r="S204" s="6"/>
    </row>
    <row r="205" spans="3:19" ht="15">
      <c r="C205" s="6"/>
      <c r="D205" s="6"/>
      <c r="E205" s="6"/>
      <c r="F205" s="6"/>
      <c r="G205" s="6"/>
      <c r="H205" s="6"/>
      <c r="I205" s="6"/>
      <c r="J205" s="6"/>
      <c r="K205" s="6"/>
      <c r="L205" s="6"/>
      <c r="M205" s="6"/>
      <c r="N205" s="6"/>
      <c r="O205" s="6"/>
      <c r="P205" s="6"/>
      <c r="Q205" s="6"/>
      <c r="R205" s="6"/>
      <c r="S205" s="6"/>
    </row>
    <row r="206" spans="3:19" ht="15">
      <c r="C206" s="6"/>
      <c r="D206" s="6"/>
      <c r="E206" s="6"/>
      <c r="F206" s="6"/>
      <c r="G206" s="6"/>
      <c r="H206" s="6"/>
      <c r="I206" s="6"/>
      <c r="J206" s="6"/>
      <c r="K206" s="6"/>
      <c r="L206" s="6"/>
      <c r="M206" s="6"/>
      <c r="N206" s="6"/>
      <c r="O206" s="6"/>
      <c r="P206" s="6"/>
      <c r="Q206" s="6"/>
      <c r="R206" s="6"/>
      <c r="S206" s="6"/>
    </row>
    <row r="207" spans="3:19" ht="15">
      <c r="C207" s="6"/>
      <c r="D207" s="6"/>
      <c r="E207" s="6"/>
      <c r="F207" s="6"/>
      <c r="G207" s="6"/>
      <c r="H207" s="6"/>
      <c r="I207" s="6"/>
      <c r="J207" s="6"/>
      <c r="K207" s="6"/>
      <c r="L207" s="6"/>
      <c r="M207" s="6"/>
      <c r="N207" s="6"/>
      <c r="O207" s="6"/>
      <c r="P207" s="6"/>
      <c r="Q207" s="6"/>
      <c r="R207" s="6"/>
      <c r="S207" s="6"/>
    </row>
    <row r="208" spans="3:19" ht="15">
      <c r="C208" s="6"/>
      <c r="D208" s="6"/>
      <c r="E208" s="6"/>
      <c r="F208" s="6"/>
      <c r="G208" s="6"/>
      <c r="H208" s="6"/>
      <c r="I208" s="6"/>
      <c r="J208" s="6"/>
      <c r="K208" s="6"/>
      <c r="L208" s="6"/>
      <c r="M208" s="6"/>
      <c r="N208" s="6"/>
      <c r="O208" s="6"/>
      <c r="P208" s="6"/>
      <c r="Q208" s="6"/>
      <c r="R208" s="6"/>
      <c r="S208" s="6"/>
    </row>
    <row r="209" spans="3:19" ht="15">
      <c r="C209" s="6"/>
      <c r="D209" s="6"/>
      <c r="E209" s="6"/>
      <c r="F209" s="6"/>
      <c r="G209" s="6"/>
      <c r="H209" s="6"/>
      <c r="I209" s="6"/>
      <c r="J209" s="6"/>
      <c r="K209" s="6"/>
      <c r="L209" s="6"/>
      <c r="M209" s="6"/>
      <c r="N209" s="6"/>
      <c r="O209" s="6"/>
      <c r="P209" s="6"/>
      <c r="Q209" s="6"/>
      <c r="R209" s="6"/>
      <c r="S209" s="6"/>
    </row>
    <row r="210" spans="3:19" ht="15">
      <c r="C210" s="6"/>
      <c r="D210" s="6"/>
      <c r="E210" s="6"/>
      <c r="F210" s="6"/>
      <c r="G210" s="6"/>
      <c r="H210" s="6"/>
      <c r="I210" s="6"/>
      <c r="J210" s="6"/>
      <c r="K210" s="6"/>
      <c r="L210" s="6"/>
      <c r="M210" s="6"/>
      <c r="N210" s="6"/>
      <c r="O210" s="6"/>
      <c r="P210" s="6"/>
      <c r="Q210" s="6"/>
      <c r="R210" s="6"/>
      <c r="S210" s="6"/>
    </row>
    <row r="211" spans="3:19" ht="15">
      <c r="C211" s="6"/>
      <c r="D211" s="6"/>
      <c r="E211" s="6"/>
      <c r="F211" s="6"/>
      <c r="G211" s="6"/>
      <c r="H211" s="6"/>
      <c r="I211" s="6"/>
      <c r="J211" s="6"/>
      <c r="K211" s="6"/>
      <c r="L211" s="6"/>
      <c r="M211" s="6"/>
      <c r="N211" s="6"/>
      <c r="O211" s="6"/>
      <c r="P211" s="6"/>
      <c r="Q211" s="6"/>
      <c r="R211" s="6"/>
      <c r="S211" s="6"/>
    </row>
    <row r="212" spans="3:19" ht="15">
      <c r="C212" s="6"/>
      <c r="D212" s="6"/>
      <c r="E212" s="6"/>
      <c r="F212" s="6"/>
      <c r="G212" s="6"/>
      <c r="H212" s="6"/>
      <c r="I212" s="6"/>
      <c r="J212" s="6"/>
      <c r="K212" s="6"/>
      <c r="L212" s="6"/>
      <c r="M212" s="6"/>
      <c r="N212" s="6"/>
      <c r="O212" s="6"/>
      <c r="P212" s="6"/>
      <c r="Q212" s="6"/>
      <c r="R212" s="6"/>
      <c r="S212" s="6"/>
    </row>
    <row r="213" spans="3:19" ht="15">
      <c r="C213" s="6"/>
      <c r="D213" s="6"/>
      <c r="E213" s="6"/>
      <c r="F213" s="6"/>
      <c r="G213" s="6"/>
      <c r="H213" s="6"/>
      <c r="I213" s="6"/>
      <c r="J213" s="6"/>
      <c r="K213" s="6"/>
      <c r="L213" s="6"/>
      <c r="M213" s="6"/>
      <c r="N213" s="6"/>
      <c r="O213" s="6"/>
      <c r="P213" s="6"/>
      <c r="Q213" s="6"/>
      <c r="R213" s="6"/>
      <c r="S213" s="6"/>
    </row>
    <row r="214" spans="3:19" ht="15">
      <c r="C214" s="6"/>
      <c r="D214" s="6"/>
      <c r="E214" s="6"/>
      <c r="F214" s="6"/>
      <c r="G214" s="6"/>
      <c r="H214" s="6"/>
      <c r="I214" s="6"/>
      <c r="J214" s="6"/>
      <c r="K214" s="6"/>
      <c r="L214" s="6"/>
      <c r="M214" s="6"/>
      <c r="N214" s="6"/>
      <c r="O214" s="6"/>
      <c r="P214" s="6"/>
      <c r="Q214" s="6"/>
      <c r="R214" s="6"/>
      <c r="S214" s="6"/>
    </row>
    <row r="215" spans="3:19" ht="15">
      <c r="C215" s="6"/>
      <c r="D215" s="6"/>
      <c r="E215" s="6"/>
      <c r="F215" s="6"/>
      <c r="G215" s="6"/>
      <c r="H215" s="6"/>
      <c r="I215" s="6"/>
      <c r="J215" s="6"/>
      <c r="K215" s="6"/>
      <c r="L215" s="6"/>
      <c r="M215" s="6"/>
      <c r="N215" s="6"/>
      <c r="O215" s="6"/>
      <c r="P215" s="6"/>
      <c r="Q215" s="6"/>
      <c r="R215" s="6"/>
      <c r="S215" s="6"/>
    </row>
    <row r="216" spans="3:19" ht="15">
      <c r="C216" s="6"/>
      <c r="D216" s="6"/>
      <c r="E216" s="6"/>
      <c r="F216" s="6"/>
      <c r="G216" s="6"/>
      <c r="H216" s="6"/>
      <c r="I216" s="6"/>
      <c r="J216" s="6"/>
      <c r="K216" s="6"/>
      <c r="L216" s="6"/>
      <c r="M216" s="6"/>
      <c r="N216" s="6"/>
      <c r="O216" s="6"/>
      <c r="P216" s="6"/>
      <c r="Q216" s="6"/>
      <c r="R216" s="6"/>
      <c r="S216" s="6"/>
    </row>
    <row r="217" spans="3:19" ht="15">
      <c r="C217" s="6"/>
      <c r="D217" s="6"/>
      <c r="E217" s="6"/>
      <c r="F217" s="6"/>
      <c r="G217" s="6"/>
      <c r="H217" s="6"/>
      <c r="I217" s="6"/>
      <c r="J217" s="6"/>
      <c r="K217" s="6"/>
      <c r="L217" s="6"/>
      <c r="M217" s="6"/>
      <c r="N217" s="6"/>
      <c r="O217" s="6"/>
      <c r="P217" s="6"/>
      <c r="Q217" s="6"/>
      <c r="R217" s="6"/>
      <c r="S217" s="6"/>
    </row>
    <row r="218" spans="3:19" ht="15">
      <c r="C218" s="6"/>
      <c r="D218" s="6"/>
      <c r="E218" s="6"/>
      <c r="F218" s="6"/>
      <c r="G218" s="6"/>
      <c r="H218" s="6"/>
      <c r="I218" s="6"/>
      <c r="J218" s="6"/>
      <c r="K218" s="6"/>
      <c r="L218" s="6"/>
      <c r="M218" s="6"/>
      <c r="N218" s="6"/>
      <c r="O218" s="6"/>
      <c r="P218" s="6"/>
      <c r="Q218" s="6"/>
      <c r="R218" s="6"/>
      <c r="S218" s="6"/>
    </row>
    <row r="219" spans="3:19" ht="15">
      <c r="C219" s="6"/>
      <c r="D219" s="6"/>
      <c r="E219" s="6"/>
      <c r="F219" s="6"/>
      <c r="G219" s="6"/>
      <c r="H219" s="6"/>
      <c r="I219" s="6"/>
      <c r="J219" s="6"/>
      <c r="K219" s="6"/>
      <c r="L219" s="6"/>
      <c r="M219" s="6"/>
      <c r="N219" s="6"/>
      <c r="O219" s="6"/>
      <c r="P219" s="6"/>
      <c r="Q219" s="6"/>
      <c r="R219" s="6"/>
      <c r="S219" s="6"/>
    </row>
    <row r="220" spans="3:19" ht="15">
      <c r="C220" s="6"/>
      <c r="D220" s="6"/>
      <c r="E220" s="6"/>
      <c r="F220" s="6"/>
      <c r="G220" s="6"/>
      <c r="H220" s="6"/>
      <c r="I220" s="6"/>
      <c r="J220" s="6"/>
      <c r="K220" s="6"/>
      <c r="L220" s="6"/>
      <c r="M220" s="6"/>
      <c r="N220" s="6"/>
      <c r="O220" s="6"/>
      <c r="P220" s="6"/>
      <c r="Q220" s="6"/>
      <c r="R220" s="6"/>
      <c r="S220" s="6"/>
    </row>
    <row r="221" spans="3:19" ht="15">
      <c r="C221" s="6"/>
      <c r="D221" s="6"/>
      <c r="E221" s="6"/>
      <c r="F221" s="6"/>
      <c r="G221" s="6"/>
      <c r="H221" s="6"/>
      <c r="I221" s="6"/>
      <c r="J221" s="6"/>
      <c r="K221" s="6"/>
      <c r="L221" s="6"/>
      <c r="M221" s="6"/>
      <c r="N221" s="6"/>
      <c r="O221" s="6"/>
      <c r="P221" s="6"/>
      <c r="Q221" s="6"/>
      <c r="R221" s="6"/>
      <c r="S221" s="6"/>
    </row>
    <row r="222" spans="3:19" ht="15">
      <c r="C222" s="6"/>
      <c r="D222" s="6"/>
      <c r="E222" s="6"/>
      <c r="F222" s="6"/>
      <c r="G222" s="6"/>
      <c r="H222" s="6"/>
      <c r="I222" s="6"/>
      <c r="J222" s="6"/>
      <c r="K222" s="6"/>
      <c r="L222" s="6"/>
      <c r="M222" s="6"/>
      <c r="N222" s="6"/>
      <c r="O222" s="6"/>
      <c r="P222" s="6"/>
      <c r="Q222" s="6"/>
      <c r="R222" s="6"/>
      <c r="S222" s="6"/>
    </row>
    <row r="223" spans="3:19" ht="15">
      <c r="C223" s="6"/>
      <c r="D223" s="6"/>
      <c r="E223" s="6"/>
      <c r="F223" s="6"/>
      <c r="G223" s="6"/>
      <c r="H223" s="6"/>
      <c r="I223" s="6"/>
      <c r="J223" s="6"/>
      <c r="K223" s="6"/>
      <c r="L223" s="6"/>
      <c r="M223" s="6"/>
      <c r="N223" s="6"/>
      <c r="O223" s="6"/>
      <c r="P223" s="6"/>
      <c r="Q223" s="6"/>
      <c r="R223" s="6"/>
      <c r="S223" s="6"/>
    </row>
    <row r="224" spans="3:19" ht="15">
      <c r="C224" s="6"/>
      <c r="D224" s="6"/>
      <c r="E224" s="6"/>
      <c r="F224" s="6"/>
      <c r="G224" s="6"/>
      <c r="H224" s="6"/>
      <c r="I224" s="6"/>
      <c r="J224" s="6"/>
      <c r="K224" s="6"/>
      <c r="L224" s="6"/>
      <c r="M224" s="6"/>
      <c r="N224" s="6"/>
      <c r="O224" s="6"/>
      <c r="P224" s="6"/>
      <c r="Q224" s="6"/>
      <c r="R224" s="6"/>
      <c r="S224" s="6"/>
    </row>
    <row r="225" spans="3:19" ht="15">
      <c r="C225" s="6"/>
      <c r="D225" s="6"/>
      <c r="E225" s="6"/>
      <c r="F225" s="6"/>
      <c r="G225" s="6"/>
      <c r="H225" s="6"/>
      <c r="I225" s="6"/>
      <c r="J225" s="6"/>
      <c r="K225" s="6"/>
      <c r="L225" s="6"/>
      <c r="M225" s="6"/>
      <c r="N225" s="6"/>
      <c r="O225" s="6"/>
      <c r="P225" s="6"/>
      <c r="Q225" s="6"/>
      <c r="R225" s="6"/>
      <c r="S225" s="6"/>
    </row>
    <row r="226" spans="3:19" ht="15">
      <c r="C226" s="6"/>
      <c r="D226" s="6"/>
      <c r="E226" s="6"/>
      <c r="F226" s="6"/>
      <c r="G226" s="6"/>
      <c r="H226" s="6"/>
      <c r="I226" s="6"/>
      <c r="J226" s="6"/>
      <c r="K226" s="6"/>
      <c r="L226" s="6"/>
      <c r="M226" s="6"/>
      <c r="N226" s="6"/>
      <c r="O226" s="6"/>
      <c r="P226" s="6"/>
      <c r="Q226" s="6"/>
      <c r="R226" s="6"/>
      <c r="S226" s="6"/>
    </row>
    <row r="227" spans="3:19" ht="15">
      <c r="C227" s="6"/>
      <c r="D227" s="6"/>
      <c r="E227" s="6"/>
      <c r="F227" s="6"/>
      <c r="G227" s="6"/>
      <c r="H227" s="6"/>
      <c r="I227" s="6"/>
      <c r="J227" s="6"/>
      <c r="K227" s="6"/>
      <c r="L227" s="6"/>
      <c r="M227" s="6"/>
      <c r="N227" s="6"/>
      <c r="O227" s="6"/>
      <c r="P227" s="6"/>
      <c r="Q227" s="6"/>
      <c r="R227" s="6"/>
      <c r="S227" s="6"/>
    </row>
    <row r="228" spans="3:19" ht="15">
      <c r="C228" s="6"/>
      <c r="D228" s="6"/>
      <c r="E228" s="6"/>
      <c r="F228" s="6"/>
      <c r="G228" s="6"/>
      <c r="H228" s="6"/>
      <c r="I228" s="6"/>
      <c r="J228" s="6"/>
      <c r="K228" s="6"/>
      <c r="L228" s="6"/>
      <c r="M228" s="6"/>
      <c r="N228" s="6"/>
      <c r="O228" s="6"/>
      <c r="P228" s="6"/>
      <c r="Q228" s="6"/>
      <c r="R228" s="6"/>
      <c r="S228" s="6"/>
    </row>
    <row r="229" spans="3:19" ht="15">
      <c r="C229" s="6"/>
      <c r="D229" s="6"/>
      <c r="E229" s="6"/>
      <c r="F229" s="6"/>
      <c r="G229" s="6"/>
      <c r="H229" s="6"/>
      <c r="I229" s="6"/>
      <c r="J229" s="6"/>
      <c r="K229" s="6"/>
      <c r="L229" s="6"/>
      <c r="M229" s="6"/>
      <c r="N229" s="6"/>
      <c r="O229" s="6"/>
      <c r="P229" s="6"/>
      <c r="Q229" s="6"/>
      <c r="R229" s="6"/>
      <c r="S229" s="6"/>
    </row>
    <row r="230" spans="3:19" ht="15">
      <c r="C230" s="6"/>
      <c r="D230" s="6"/>
      <c r="E230" s="6"/>
      <c r="F230" s="6"/>
      <c r="G230" s="6"/>
      <c r="H230" s="6"/>
      <c r="I230" s="6"/>
      <c r="J230" s="6"/>
      <c r="K230" s="6"/>
      <c r="L230" s="6"/>
      <c r="M230" s="6"/>
      <c r="N230" s="6"/>
      <c r="O230" s="6"/>
      <c r="P230" s="6"/>
      <c r="Q230" s="6"/>
      <c r="R230" s="6"/>
      <c r="S230" s="6"/>
    </row>
    <row r="231" spans="3:19" ht="15">
      <c r="C231" s="6"/>
      <c r="D231" s="6"/>
      <c r="E231" s="6"/>
      <c r="F231" s="6"/>
      <c r="G231" s="6"/>
      <c r="H231" s="6"/>
      <c r="I231" s="6"/>
      <c r="J231" s="6"/>
      <c r="K231" s="6"/>
      <c r="L231" s="6"/>
      <c r="M231" s="6"/>
      <c r="N231" s="6"/>
      <c r="O231" s="6"/>
      <c r="P231" s="6"/>
      <c r="Q231" s="6"/>
      <c r="R231" s="6"/>
      <c r="S231" s="6"/>
    </row>
    <row r="232" spans="3:19" ht="15">
      <c r="C232" s="6"/>
      <c r="D232" s="6"/>
      <c r="E232" s="6"/>
      <c r="F232" s="6"/>
      <c r="G232" s="6"/>
      <c r="H232" s="6"/>
      <c r="I232" s="6"/>
      <c r="J232" s="6"/>
      <c r="K232" s="6"/>
      <c r="L232" s="6"/>
      <c r="M232" s="6"/>
      <c r="N232" s="6"/>
      <c r="O232" s="6"/>
      <c r="P232" s="6"/>
      <c r="Q232" s="6"/>
      <c r="R232" s="6"/>
      <c r="S232" s="6"/>
    </row>
    <row r="233" spans="3:19" ht="15">
      <c r="C233" s="6"/>
      <c r="D233" s="6"/>
      <c r="E233" s="6"/>
      <c r="F233" s="6"/>
      <c r="G233" s="6"/>
      <c r="H233" s="6"/>
      <c r="I233" s="6"/>
      <c r="J233" s="6"/>
      <c r="K233" s="6"/>
      <c r="L233" s="6"/>
      <c r="M233" s="6"/>
      <c r="N233" s="6"/>
      <c r="O233" s="6"/>
      <c r="P233" s="6"/>
      <c r="Q233" s="6"/>
      <c r="R233" s="6"/>
      <c r="S233" s="6"/>
    </row>
    <row r="234" spans="3:19" ht="15">
      <c r="C234" s="6"/>
      <c r="D234" s="6"/>
      <c r="E234" s="6"/>
      <c r="F234" s="6"/>
      <c r="G234" s="6"/>
      <c r="H234" s="6"/>
      <c r="I234" s="6"/>
      <c r="J234" s="6"/>
      <c r="K234" s="6"/>
      <c r="L234" s="6"/>
      <c r="M234" s="6"/>
      <c r="N234" s="6"/>
      <c r="O234" s="6"/>
      <c r="P234" s="6"/>
      <c r="Q234" s="6"/>
      <c r="R234" s="6"/>
      <c r="S234" s="6"/>
    </row>
    <row r="235" spans="3:19" ht="15">
      <c r="C235" s="6"/>
      <c r="D235" s="6"/>
      <c r="E235" s="6"/>
      <c r="F235" s="6"/>
      <c r="G235" s="6"/>
      <c r="H235" s="6"/>
      <c r="I235" s="6"/>
      <c r="J235" s="6"/>
      <c r="K235" s="6"/>
      <c r="L235" s="6"/>
      <c r="M235" s="6"/>
      <c r="N235" s="6"/>
      <c r="O235" s="6"/>
      <c r="P235" s="6"/>
      <c r="Q235" s="6"/>
      <c r="R235" s="6"/>
      <c r="S235" s="6"/>
    </row>
    <row r="236" spans="3:19" ht="15">
      <c r="C236" s="6"/>
      <c r="D236" s="6"/>
      <c r="E236" s="6"/>
      <c r="F236" s="6"/>
      <c r="G236" s="6"/>
      <c r="H236" s="6"/>
      <c r="I236" s="6"/>
      <c r="J236" s="6"/>
      <c r="K236" s="6"/>
      <c r="L236" s="6"/>
      <c r="M236" s="6"/>
      <c r="N236" s="6"/>
      <c r="O236" s="6"/>
      <c r="P236" s="6"/>
      <c r="Q236" s="6"/>
      <c r="R236" s="6"/>
      <c r="S236" s="6"/>
    </row>
    <row r="237" spans="3:19" ht="15">
      <c r="C237" s="6"/>
      <c r="D237" s="6"/>
      <c r="E237" s="6"/>
      <c r="F237" s="6"/>
      <c r="G237" s="6"/>
      <c r="H237" s="6"/>
      <c r="I237" s="6"/>
      <c r="J237" s="6"/>
      <c r="K237" s="6"/>
      <c r="L237" s="6"/>
      <c r="M237" s="6"/>
      <c r="N237" s="6"/>
      <c r="O237" s="6"/>
      <c r="P237" s="6"/>
      <c r="Q237" s="6"/>
      <c r="R237" s="6"/>
      <c r="S237" s="6"/>
    </row>
    <row r="238" spans="3:19" ht="15">
      <c r="C238" s="6"/>
      <c r="D238" s="6"/>
      <c r="E238" s="6"/>
      <c r="F238" s="6"/>
      <c r="G238" s="6"/>
      <c r="H238" s="6"/>
      <c r="I238" s="6"/>
      <c r="J238" s="6"/>
      <c r="K238" s="6"/>
      <c r="L238" s="6"/>
      <c r="M238" s="6"/>
      <c r="N238" s="6"/>
      <c r="O238" s="6"/>
      <c r="P238" s="6"/>
      <c r="Q238" s="6"/>
      <c r="R238" s="6"/>
      <c r="S238" s="6"/>
    </row>
    <row r="239" spans="3:19" ht="15">
      <c r="C239" s="6"/>
      <c r="D239" s="6"/>
      <c r="E239" s="6"/>
      <c r="F239" s="6"/>
      <c r="G239" s="6"/>
      <c r="H239" s="6"/>
      <c r="I239" s="6"/>
      <c r="J239" s="6"/>
      <c r="K239" s="6"/>
      <c r="L239" s="6"/>
      <c r="M239" s="6"/>
      <c r="N239" s="6"/>
      <c r="O239" s="6"/>
      <c r="P239" s="6"/>
      <c r="Q239" s="6"/>
      <c r="R239" s="6"/>
      <c r="S239" s="6"/>
    </row>
    <row r="240" spans="3:19" ht="15">
      <c r="C240" s="6"/>
      <c r="D240" s="6"/>
      <c r="E240" s="6"/>
      <c r="F240" s="6"/>
      <c r="G240" s="6"/>
      <c r="H240" s="6"/>
      <c r="I240" s="6"/>
      <c r="J240" s="6"/>
      <c r="K240" s="6"/>
      <c r="L240" s="6"/>
      <c r="M240" s="6"/>
      <c r="N240" s="6"/>
      <c r="O240" s="6"/>
      <c r="P240" s="6"/>
      <c r="Q240" s="6"/>
      <c r="R240" s="6"/>
      <c r="S240" s="6"/>
    </row>
    <row r="241" spans="3:19" ht="15">
      <c r="C241" s="6"/>
      <c r="D241" s="6"/>
      <c r="E241" s="6"/>
      <c r="F241" s="6"/>
      <c r="G241" s="6"/>
      <c r="H241" s="6"/>
      <c r="I241" s="6"/>
      <c r="J241" s="6"/>
      <c r="K241" s="6"/>
      <c r="L241" s="6"/>
      <c r="M241" s="6"/>
      <c r="N241" s="6"/>
      <c r="O241" s="6"/>
      <c r="P241" s="6"/>
      <c r="Q241" s="6"/>
      <c r="R241" s="6"/>
      <c r="S241" s="6"/>
    </row>
    <row r="242" spans="3:19" ht="15">
      <c r="C242" s="6"/>
      <c r="D242" s="6"/>
      <c r="E242" s="6"/>
      <c r="F242" s="6"/>
      <c r="G242" s="6"/>
      <c r="H242" s="6"/>
      <c r="I242" s="6"/>
      <c r="J242" s="6"/>
      <c r="K242" s="6"/>
      <c r="L242" s="6"/>
      <c r="M242" s="6"/>
      <c r="N242" s="6"/>
      <c r="O242" s="6"/>
      <c r="P242" s="6"/>
      <c r="Q242" s="6"/>
      <c r="R242" s="6"/>
      <c r="S242" s="6"/>
    </row>
  </sheetData>
  <mergeCells count="5">
    <mergeCell ref="D6:F6"/>
    <mergeCell ref="D1:F1"/>
    <mergeCell ref="D2:F2"/>
    <mergeCell ref="D3:F3"/>
    <mergeCell ref="D5:F5"/>
  </mergeCells>
  <printOptions horizontalCentered="1"/>
  <pageMargins left="0.57" right="0.3" top="0.77" bottom="0.75" header="0.5" footer="0.5"/>
  <pageSetup fitToHeight="6" horizontalDpi="300" verticalDpi="300" orientation="portrait" scale="51" r:id="rId1"/>
  <headerFooter alignWithMargins="0">
    <oddFooter>&amp;L&amp;D&amp;R&amp;F, &amp;A</oddFooter>
  </headerFooter>
</worksheet>
</file>

<file path=xl/worksheets/sheet10.xml><?xml version="1.0" encoding="utf-8"?>
<worksheet xmlns="http://schemas.openxmlformats.org/spreadsheetml/2006/main" xmlns:r="http://schemas.openxmlformats.org/officeDocument/2006/relationships">
  <dimension ref="A1:J163"/>
  <sheetViews>
    <sheetView view="pageBreakPreview" zoomScale="75" zoomScaleNormal="60" zoomScaleSheetLayoutView="75" workbookViewId="0" topLeftCell="A1">
      <selection activeCell="A2" sqref="A2"/>
    </sheetView>
  </sheetViews>
  <sheetFormatPr defaultColWidth="8.88671875" defaultRowHeight="15"/>
  <cols>
    <col min="1" max="1" width="6.77734375" style="182" customWidth="1"/>
    <col min="2" max="2" width="35.77734375" style="181" customWidth="1"/>
    <col min="3" max="3" width="9.77734375" style="181" customWidth="1"/>
    <col min="4" max="9" width="11.77734375" style="181" customWidth="1"/>
    <col min="10" max="10" width="75.77734375" style="181" customWidth="1"/>
    <col min="11" max="11" width="10.77734375" style="181" customWidth="1"/>
    <col min="12" max="16384" width="7.10546875" style="181" customWidth="1"/>
  </cols>
  <sheetData>
    <row r="1" spans="1:9" ht="21">
      <c r="A1" s="409" t="s">
        <v>17</v>
      </c>
      <c r="B1" s="408"/>
      <c r="C1" s="408"/>
      <c r="D1" s="408"/>
      <c r="E1" s="408"/>
      <c r="F1" s="408"/>
      <c r="G1" s="408"/>
      <c r="H1" s="408"/>
      <c r="I1" s="410" t="s">
        <v>85</v>
      </c>
    </row>
    <row r="2" spans="1:9" ht="21">
      <c r="A2" s="409"/>
      <c r="B2" s="408"/>
      <c r="C2" s="408"/>
      <c r="D2" s="408"/>
      <c r="E2" s="408"/>
      <c r="F2" s="408"/>
      <c r="G2" s="408"/>
      <c r="H2" s="408"/>
      <c r="I2" s="408"/>
    </row>
    <row r="3" spans="1:9" ht="17.25">
      <c r="A3" s="524" t="s">
        <v>69</v>
      </c>
      <c r="B3" s="524"/>
      <c r="C3" s="524"/>
      <c r="D3" s="524"/>
      <c r="E3" s="524"/>
      <c r="F3" s="524"/>
      <c r="G3" s="524"/>
      <c r="H3" s="524"/>
      <c r="I3" s="524"/>
    </row>
    <row r="4" spans="1:10" ht="17.25">
      <c r="A4" s="524" t="s">
        <v>67</v>
      </c>
      <c r="B4" s="516"/>
      <c r="C4" s="516"/>
      <c r="D4" s="516"/>
      <c r="E4" s="516"/>
      <c r="F4" s="516"/>
      <c r="G4" s="516"/>
      <c r="H4" s="516"/>
      <c r="I4" s="516"/>
      <c r="J4" s="389"/>
    </row>
    <row r="5" ht="12.75">
      <c r="J5" s="183"/>
    </row>
    <row r="6" spans="2:9" ht="12.75">
      <c r="B6" s="183" t="s">
        <v>68</v>
      </c>
      <c r="D6" s="184">
        <v>1</v>
      </c>
      <c r="E6" s="184">
        <v>1</v>
      </c>
      <c r="G6" s="185"/>
      <c r="H6" s="184">
        <v>1</v>
      </c>
      <c r="I6" s="185" t="s">
        <v>113</v>
      </c>
    </row>
    <row r="7" spans="4:9" ht="12.75">
      <c r="D7" s="185" t="s">
        <v>402</v>
      </c>
      <c r="E7" s="185" t="s">
        <v>137</v>
      </c>
      <c r="F7" s="185" t="s">
        <v>403</v>
      </c>
      <c r="G7" s="185" t="s">
        <v>404</v>
      </c>
      <c r="H7" s="185" t="s">
        <v>658</v>
      </c>
      <c r="I7" s="185" t="s">
        <v>406</v>
      </c>
    </row>
    <row r="8" spans="4:9" ht="12.75">
      <c r="D8" s="185" t="s">
        <v>405</v>
      </c>
      <c r="E8" s="185" t="s">
        <v>405</v>
      </c>
      <c r="F8" s="185" t="s">
        <v>405</v>
      </c>
      <c r="G8" s="185" t="s">
        <v>405</v>
      </c>
      <c r="H8" s="185" t="s">
        <v>405</v>
      </c>
      <c r="I8" s="192"/>
    </row>
    <row r="11" spans="1:10" ht="12.75">
      <c r="A11" s="265" t="s">
        <v>650</v>
      </c>
      <c r="B11" s="183" t="s">
        <v>407</v>
      </c>
      <c r="D11" s="187">
        <f>-D115</f>
        <v>13276962.450000001</v>
      </c>
      <c r="E11" s="187">
        <f>-E115</f>
        <v>0</v>
      </c>
      <c r="F11" s="187">
        <f>-F115</f>
        <v>-390808048.38</v>
      </c>
      <c r="G11" s="187">
        <f>-G115</f>
        <v>0</v>
      </c>
      <c r="H11" s="187">
        <f>-H115</f>
        <v>10750029.93</v>
      </c>
      <c r="I11" s="187" t="s">
        <v>105</v>
      </c>
      <c r="J11" s="244" t="s">
        <v>105</v>
      </c>
    </row>
    <row r="12" spans="1:10" ht="12.75">
      <c r="A12" s="265" t="s">
        <v>650</v>
      </c>
      <c r="B12" s="183" t="s">
        <v>408</v>
      </c>
      <c r="D12" s="186">
        <f>-D162</f>
        <v>-223472492.82999998</v>
      </c>
      <c r="E12" s="186">
        <f>-E162</f>
        <v>0</v>
      </c>
      <c r="F12" s="186">
        <f>-F162</f>
        <v>-33573547.589999996</v>
      </c>
      <c r="G12" s="187">
        <f>+G162</f>
        <v>0</v>
      </c>
      <c r="H12" s="186">
        <f>-H162</f>
        <v>-175090</v>
      </c>
      <c r="I12" s="186" t="s">
        <v>105</v>
      </c>
      <c r="J12" s="244" t="s">
        <v>105</v>
      </c>
    </row>
    <row r="13" spans="1:10" ht="12.75">
      <c r="A13" s="265" t="s">
        <v>651</v>
      </c>
      <c r="B13" s="183" t="s">
        <v>409</v>
      </c>
      <c r="D13" s="187">
        <f>+D82</f>
        <v>74408706.42999999</v>
      </c>
      <c r="E13" s="187">
        <f>+E82</f>
        <v>938791.61</v>
      </c>
      <c r="F13" s="187">
        <f>+F82</f>
        <v>3864254.09</v>
      </c>
      <c r="G13" s="187">
        <f>+G82</f>
        <v>7493359.959999999</v>
      </c>
      <c r="H13" s="187">
        <f>+H82</f>
        <v>1096190</v>
      </c>
      <c r="I13" s="187" t="s">
        <v>105</v>
      </c>
      <c r="J13" s="244"/>
    </row>
    <row r="14" spans="2:10" ht="12.75">
      <c r="B14" s="183" t="s">
        <v>410</v>
      </c>
      <c r="D14" s="187">
        <f>SUM(D11:D13)</f>
        <v>-135786823.95</v>
      </c>
      <c r="E14" s="187">
        <f>SUM(E11:E13)</f>
        <v>938791.61</v>
      </c>
      <c r="F14" s="187">
        <f>SUM(F11:F13)</f>
        <v>-420517341.88</v>
      </c>
      <c r="G14" s="187">
        <f>SUM(G11:G13)</f>
        <v>7493359.959999999</v>
      </c>
      <c r="H14" s="187">
        <f>SUM(H11:H13)</f>
        <v>11671129.93</v>
      </c>
      <c r="I14" s="187">
        <f>SUM(D14:H14)</f>
        <v>-536200884.33</v>
      </c>
      <c r="J14" s="186" t="s">
        <v>105</v>
      </c>
    </row>
    <row r="15" spans="2:8" ht="12.75">
      <c r="B15" s="183" t="s">
        <v>817</v>
      </c>
      <c r="F15" s="245"/>
      <c r="G15" s="189">
        <f>+WES!J142</f>
        <v>0.08987974998157357</v>
      </c>
      <c r="H15" s="268"/>
    </row>
    <row r="16" spans="2:8" ht="12.75">
      <c r="B16" s="190" t="s">
        <v>411</v>
      </c>
      <c r="F16" s="189">
        <f>+WES!H18</f>
        <v>0.09657098046992214</v>
      </c>
      <c r="H16" s="189"/>
    </row>
    <row r="17" spans="2:9" ht="12.75">
      <c r="B17" s="183" t="s">
        <v>406</v>
      </c>
      <c r="E17" s="187">
        <f>E14</f>
        <v>938791.61</v>
      </c>
      <c r="F17" s="191">
        <f>+F14*F16</f>
        <v>-40609772.00995705</v>
      </c>
      <c r="G17" s="187">
        <f>+G15*G14</f>
        <v>673501.3197267341</v>
      </c>
      <c r="H17" s="191">
        <f>+H16*H14</f>
        <v>0</v>
      </c>
      <c r="I17" s="187">
        <f>SUM(E17:H17)</f>
        <v>-38997479.08023032</v>
      </c>
    </row>
    <row r="18" spans="1:10" ht="21">
      <c r="A18" s="532" t="str">
        <f>A1</f>
        <v>Worksheet G-WES ADIT</v>
      </c>
      <c r="B18" s="533"/>
      <c r="C18" s="533"/>
      <c r="D18" s="533"/>
      <c r="E18" s="533"/>
      <c r="F18" s="533"/>
      <c r="G18" s="533"/>
      <c r="H18" s="533"/>
      <c r="I18" s="533"/>
      <c r="J18" s="533"/>
    </row>
    <row r="19" ht="15">
      <c r="J19" s="410" t="s">
        <v>86</v>
      </c>
    </row>
    <row r="20" spans="1:10" ht="17.25">
      <c r="A20" s="508" t="str">
        <f>A3</f>
        <v>Kansas Gas and Electric Company</v>
      </c>
      <c r="B20" s="522"/>
      <c r="C20" s="522"/>
      <c r="D20" s="522"/>
      <c r="E20" s="522"/>
      <c r="F20" s="522"/>
      <c r="G20" s="522"/>
      <c r="H20" s="522"/>
      <c r="I20" s="522"/>
      <c r="J20" s="522"/>
    </row>
    <row r="21" spans="1:10" ht="17.25">
      <c r="A21" s="508" t="str">
        <f>A4</f>
        <v>Allocation of ADIT</v>
      </c>
      <c r="B21" s="522"/>
      <c r="C21" s="522"/>
      <c r="D21" s="522"/>
      <c r="E21" s="522"/>
      <c r="F21" s="522"/>
      <c r="G21" s="522"/>
      <c r="H21" s="522"/>
      <c r="I21" s="522"/>
      <c r="J21" s="522"/>
    </row>
    <row r="22" spans="7:8" ht="12.75">
      <c r="G22" s="183"/>
      <c r="H22" s="183"/>
    </row>
    <row r="23" spans="2:10" ht="12.75">
      <c r="B23" s="183" t="s">
        <v>409</v>
      </c>
      <c r="C23" s="185" t="s">
        <v>394</v>
      </c>
      <c r="D23" s="185" t="s">
        <v>395</v>
      </c>
      <c r="E23" s="185" t="s">
        <v>396</v>
      </c>
      <c r="F23" s="185" t="s">
        <v>397</v>
      </c>
      <c r="G23" s="185" t="s">
        <v>398</v>
      </c>
      <c r="H23" s="185" t="s">
        <v>399</v>
      </c>
      <c r="I23" s="185" t="s">
        <v>400</v>
      </c>
      <c r="J23" s="185" t="s">
        <v>400</v>
      </c>
    </row>
    <row r="24" spans="4:10" ht="12.75">
      <c r="D24" s="184">
        <v>1</v>
      </c>
      <c r="E24" s="184">
        <v>1</v>
      </c>
      <c r="F24" s="185"/>
      <c r="G24" s="185"/>
      <c r="H24" s="184" t="s">
        <v>659</v>
      </c>
      <c r="I24" s="185" t="s">
        <v>412</v>
      </c>
      <c r="J24" s="192" t="s">
        <v>105</v>
      </c>
    </row>
    <row r="25" spans="3:10" ht="12.75">
      <c r="C25" s="193">
        <v>2005</v>
      </c>
      <c r="D25" s="185" t="s">
        <v>402</v>
      </c>
      <c r="E25" s="185" t="s">
        <v>137</v>
      </c>
      <c r="F25" s="185" t="s">
        <v>403</v>
      </c>
      <c r="G25" s="185" t="s">
        <v>404</v>
      </c>
      <c r="H25" s="185" t="s">
        <v>660</v>
      </c>
      <c r="I25" s="185" t="s">
        <v>413</v>
      </c>
      <c r="J25" s="192" t="s">
        <v>7</v>
      </c>
    </row>
    <row r="26" spans="3:10" ht="12.75">
      <c r="C26" s="192" t="s">
        <v>414</v>
      </c>
      <c r="D26" s="185" t="s">
        <v>405</v>
      </c>
      <c r="E26" s="185" t="s">
        <v>405</v>
      </c>
      <c r="F26" s="185" t="s">
        <v>405</v>
      </c>
      <c r="G26" s="185" t="s">
        <v>405</v>
      </c>
      <c r="H26" s="185" t="s">
        <v>661</v>
      </c>
      <c r="I26" s="185" t="s">
        <v>415</v>
      </c>
      <c r="J26" s="192" t="s">
        <v>8</v>
      </c>
    </row>
    <row r="27" spans="2:8" ht="13.5">
      <c r="B27" s="194"/>
      <c r="F27" s="195"/>
      <c r="G27" s="195"/>
      <c r="H27" s="195"/>
    </row>
    <row r="28" spans="1:10" s="195" customFormat="1" ht="12.75">
      <c r="A28" s="195">
        <v>1900140</v>
      </c>
      <c r="B28" s="195" t="s">
        <v>416</v>
      </c>
      <c r="C28" s="492">
        <v>4735700.36</v>
      </c>
      <c r="D28" s="246">
        <f>+C28</f>
        <v>4735700.36</v>
      </c>
      <c r="E28" s="246"/>
      <c r="F28" s="247">
        <f>+C28-D28-E28-G28</f>
        <v>0</v>
      </c>
      <c r="G28" s="226"/>
      <c r="H28" s="226"/>
      <c r="I28" s="222"/>
      <c r="J28" s="195" t="s">
        <v>417</v>
      </c>
    </row>
    <row r="29" spans="1:9" ht="12.75">
      <c r="A29" s="181" t="s">
        <v>105</v>
      </c>
      <c r="B29" s="181" t="s">
        <v>105</v>
      </c>
      <c r="C29" s="248" t="s">
        <v>105</v>
      </c>
      <c r="D29" s="248"/>
      <c r="E29" s="248"/>
      <c r="F29" s="248" t="s">
        <v>105</v>
      </c>
      <c r="G29" s="226"/>
      <c r="H29" s="226"/>
      <c r="I29" s="204"/>
    </row>
    <row r="30" spans="1:9" ht="12.75">
      <c r="A30" s="181"/>
      <c r="B30" s="198" t="s">
        <v>418</v>
      </c>
      <c r="C30" s="248"/>
      <c r="D30" s="248"/>
      <c r="E30" s="248"/>
      <c r="F30" s="248"/>
      <c r="G30" s="226"/>
      <c r="H30" s="226"/>
      <c r="I30" s="204"/>
    </row>
    <row r="31" spans="1:10" ht="12.75">
      <c r="A31" s="181">
        <v>1901010</v>
      </c>
      <c r="B31" s="181" t="s">
        <v>603</v>
      </c>
      <c r="C31" s="492">
        <v>3477804</v>
      </c>
      <c r="D31" s="249">
        <f>C31</f>
        <v>3477804</v>
      </c>
      <c r="E31" s="249"/>
      <c r="F31" s="249"/>
      <c r="G31" s="226"/>
      <c r="H31" s="226"/>
      <c r="I31" s="204" t="s">
        <v>420</v>
      </c>
      <c r="J31" s="181" t="s">
        <v>604</v>
      </c>
    </row>
    <row r="32" spans="1:10" s="195" customFormat="1" ht="26.25">
      <c r="A32" s="205">
        <v>1901013</v>
      </c>
      <c r="B32" s="205" t="s">
        <v>419</v>
      </c>
      <c r="C32" s="492">
        <v>471035.94</v>
      </c>
      <c r="D32" s="250">
        <f>+C32</f>
        <v>471035.94</v>
      </c>
      <c r="E32" s="250"/>
      <c r="F32" s="247">
        <f>+C32-D32-E32-G32</f>
        <v>0</v>
      </c>
      <c r="G32" s="226"/>
      <c r="H32" s="226"/>
      <c r="I32" s="202" t="s">
        <v>420</v>
      </c>
      <c r="J32" s="203" t="s">
        <v>605</v>
      </c>
    </row>
    <row r="33" spans="1:10" ht="12.75">
      <c r="A33" s="181">
        <v>1901015</v>
      </c>
      <c r="B33" s="181" t="s">
        <v>424</v>
      </c>
      <c r="C33" s="492">
        <v>20689.810000000056</v>
      </c>
      <c r="D33" s="249"/>
      <c r="E33" s="249"/>
      <c r="F33" s="249">
        <f>+C33-G33</f>
        <v>0</v>
      </c>
      <c r="G33" s="226">
        <f>+C33</f>
        <v>20689.810000000056</v>
      </c>
      <c r="H33" s="226"/>
      <c r="I33" s="204" t="s">
        <v>420</v>
      </c>
      <c r="J33" s="181" t="s">
        <v>425</v>
      </c>
    </row>
    <row r="34" spans="1:10" ht="12.75">
      <c r="A34" s="181">
        <v>1901016</v>
      </c>
      <c r="B34" s="181" t="s">
        <v>426</v>
      </c>
      <c r="C34" s="492">
        <v>142039.79</v>
      </c>
      <c r="D34" s="249"/>
      <c r="E34" s="249"/>
      <c r="F34" s="249">
        <f>+C34-G34</f>
        <v>0</v>
      </c>
      <c r="G34" s="226">
        <f>+C34</f>
        <v>142039.79</v>
      </c>
      <c r="H34" s="226"/>
      <c r="I34" s="204" t="s">
        <v>420</v>
      </c>
      <c r="J34" s="181" t="s">
        <v>427</v>
      </c>
    </row>
    <row r="35" spans="1:10" ht="12.75">
      <c r="A35" s="209">
        <v>1901017</v>
      </c>
      <c r="B35" s="209" t="s">
        <v>606</v>
      </c>
      <c r="C35" s="492">
        <v>57296938.26</v>
      </c>
      <c r="D35" s="249">
        <f>+C35</f>
        <v>57296938.26</v>
      </c>
      <c r="E35" s="249"/>
      <c r="F35" s="247"/>
      <c r="G35" s="226"/>
      <c r="H35" s="226"/>
      <c r="I35" s="204" t="s">
        <v>489</v>
      </c>
      <c r="J35" s="209" t="s">
        <v>607</v>
      </c>
    </row>
    <row r="36" spans="1:10" ht="12.75">
      <c r="A36" s="181">
        <v>1901018</v>
      </c>
      <c r="B36" s="181" t="s">
        <v>428</v>
      </c>
      <c r="C36" s="492">
        <v>1046468</v>
      </c>
      <c r="D36" s="249"/>
      <c r="E36" s="249"/>
      <c r="F36" s="249"/>
      <c r="G36" s="226"/>
      <c r="H36" s="226">
        <f>C36</f>
        <v>1046468</v>
      </c>
      <c r="I36" s="204" t="s">
        <v>420</v>
      </c>
      <c r="J36" s="181" t="s">
        <v>429</v>
      </c>
    </row>
    <row r="37" spans="1:10" ht="12.75">
      <c r="A37" s="181">
        <v>1901019</v>
      </c>
      <c r="B37" s="181" t="s">
        <v>430</v>
      </c>
      <c r="C37" s="492">
        <v>1348991</v>
      </c>
      <c r="D37" s="249"/>
      <c r="E37" s="249"/>
      <c r="F37" s="249">
        <f aca="true" t="shared" si="0" ref="F37:F46">+C37-G37</f>
        <v>1348991</v>
      </c>
      <c r="G37" s="226"/>
      <c r="H37" s="226"/>
      <c r="I37" s="204" t="s">
        <v>420</v>
      </c>
      <c r="J37" s="181" t="s">
        <v>431</v>
      </c>
    </row>
    <row r="38" spans="1:10" s="195" customFormat="1" ht="12.75">
      <c r="A38" s="195">
        <v>1901020</v>
      </c>
      <c r="B38" s="195" t="s">
        <v>432</v>
      </c>
      <c r="C38" s="492">
        <v>845867</v>
      </c>
      <c r="D38" s="247"/>
      <c r="E38" s="247"/>
      <c r="F38" s="247">
        <f t="shared" si="0"/>
        <v>845867</v>
      </c>
      <c r="G38" s="226"/>
      <c r="H38" s="226"/>
      <c r="I38" s="204" t="s">
        <v>420</v>
      </c>
      <c r="J38" s="195" t="s">
        <v>433</v>
      </c>
    </row>
    <row r="39" spans="1:10" ht="12.75">
      <c r="A39" s="181">
        <v>1901021</v>
      </c>
      <c r="B39" s="181" t="s">
        <v>434</v>
      </c>
      <c r="C39" s="492">
        <v>418098</v>
      </c>
      <c r="D39" s="249"/>
      <c r="E39" s="249"/>
      <c r="F39" s="249">
        <f t="shared" si="0"/>
        <v>0</v>
      </c>
      <c r="G39" s="226">
        <f>+C39</f>
        <v>418098</v>
      </c>
      <c r="H39" s="226"/>
      <c r="I39" s="204" t="s">
        <v>420</v>
      </c>
      <c r="J39" s="181" t="s">
        <v>435</v>
      </c>
    </row>
    <row r="40" spans="1:10" ht="12.75">
      <c r="A40" s="181">
        <v>1902210</v>
      </c>
      <c r="B40" s="181" t="s">
        <v>436</v>
      </c>
      <c r="C40" s="492">
        <v>326870</v>
      </c>
      <c r="D40" s="249"/>
      <c r="E40" s="249"/>
      <c r="F40" s="249">
        <f t="shared" si="0"/>
        <v>326870</v>
      </c>
      <c r="G40" s="226"/>
      <c r="H40" s="226"/>
      <c r="I40" s="204" t="s">
        <v>420</v>
      </c>
      <c r="J40" s="181" t="s">
        <v>437</v>
      </c>
    </row>
    <row r="41" spans="1:10" ht="12.75">
      <c r="A41" s="181">
        <v>1901026</v>
      </c>
      <c r="B41" s="181" t="s">
        <v>438</v>
      </c>
      <c r="C41" s="492">
        <v>837392</v>
      </c>
      <c r="D41" s="249"/>
      <c r="E41" s="249"/>
      <c r="F41" s="249">
        <f t="shared" si="0"/>
        <v>0</v>
      </c>
      <c r="G41" s="226">
        <f>+C41</f>
        <v>837392</v>
      </c>
      <c r="H41" s="226"/>
      <c r="I41" s="204" t="s">
        <v>420</v>
      </c>
      <c r="J41" s="181" t="s">
        <v>439</v>
      </c>
    </row>
    <row r="42" spans="1:10" ht="12.75">
      <c r="A42" s="181">
        <v>1901027</v>
      </c>
      <c r="B42" s="181" t="s">
        <v>440</v>
      </c>
      <c r="C42" s="492">
        <v>10947.62</v>
      </c>
      <c r="D42" s="249"/>
      <c r="E42" s="249"/>
      <c r="F42" s="249">
        <f t="shared" si="0"/>
        <v>10947.62</v>
      </c>
      <c r="G42" s="226"/>
      <c r="H42" s="226"/>
      <c r="I42" s="204" t="s">
        <v>420</v>
      </c>
      <c r="J42" s="181" t="s">
        <v>441</v>
      </c>
    </row>
    <row r="43" spans="1:10" ht="12.75">
      <c r="A43" s="181">
        <v>1901032</v>
      </c>
      <c r="B43" s="181" t="s">
        <v>442</v>
      </c>
      <c r="C43" s="492">
        <v>8442849.15</v>
      </c>
      <c r="D43" s="249">
        <f>+C43</f>
        <v>8442849.15</v>
      </c>
      <c r="E43" s="249"/>
      <c r="G43" s="226"/>
      <c r="H43" s="226"/>
      <c r="I43" s="204" t="s">
        <v>420</v>
      </c>
      <c r="J43" s="181" t="s">
        <v>443</v>
      </c>
    </row>
    <row r="44" spans="1:10" ht="12.75">
      <c r="A44" s="181">
        <v>1901034</v>
      </c>
      <c r="B44" s="181" t="s">
        <v>444</v>
      </c>
      <c r="C44" s="492">
        <v>-780394.6</v>
      </c>
      <c r="D44" s="249"/>
      <c r="E44" s="249"/>
      <c r="F44" s="249">
        <f t="shared" si="0"/>
        <v>0</v>
      </c>
      <c r="G44" s="226">
        <f>+C44</f>
        <v>-780394.6</v>
      </c>
      <c r="H44" s="226"/>
      <c r="I44" s="204" t="s">
        <v>420</v>
      </c>
      <c r="J44" s="181" t="s">
        <v>445</v>
      </c>
    </row>
    <row r="45" spans="1:10" ht="12.75">
      <c r="A45" s="181">
        <v>1901035</v>
      </c>
      <c r="B45" s="181" t="s">
        <v>446</v>
      </c>
      <c r="C45" s="492">
        <v>147349.13</v>
      </c>
      <c r="D45" s="249"/>
      <c r="E45" s="249"/>
      <c r="F45" s="249">
        <f t="shared" si="0"/>
        <v>147349.13</v>
      </c>
      <c r="G45" s="226"/>
      <c r="H45" s="226"/>
      <c r="I45" s="204" t="s">
        <v>420</v>
      </c>
      <c r="J45" s="181" t="s">
        <v>447</v>
      </c>
    </row>
    <row r="46" spans="1:10" ht="26.25">
      <c r="A46" s="200">
        <v>1901037</v>
      </c>
      <c r="B46" s="208" t="s">
        <v>608</v>
      </c>
      <c r="C46" s="492">
        <v>380882</v>
      </c>
      <c r="D46" s="251"/>
      <c r="E46" s="251"/>
      <c r="F46" s="251">
        <f t="shared" si="0"/>
        <v>380882</v>
      </c>
      <c r="G46" s="226"/>
      <c r="H46" s="226"/>
      <c r="I46" s="202" t="s">
        <v>420</v>
      </c>
      <c r="J46" s="203" t="s">
        <v>609</v>
      </c>
    </row>
    <row r="47" spans="1:10" ht="12.75">
      <c r="A47" s="493">
        <v>1901038</v>
      </c>
      <c r="B47" s="494" t="s">
        <v>747</v>
      </c>
      <c r="C47" s="501">
        <v>479790.64</v>
      </c>
      <c r="D47" s="249">
        <f>+C47</f>
        <v>479790.64</v>
      </c>
      <c r="E47" s="251"/>
      <c r="F47" s="251"/>
      <c r="G47" s="226"/>
      <c r="H47" s="226"/>
      <c r="I47" s="506" t="s">
        <v>420</v>
      </c>
      <c r="J47" s="209" t="s">
        <v>607</v>
      </c>
    </row>
    <row r="48" spans="1:10" s="195" customFormat="1" ht="12.75">
      <c r="A48" s="252">
        <v>1901043</v>
      </c>
      <c r="B48" s="252" t="s">
        <v>454</v>
      </c>
      <c r="C48" s="492">
        <v>24970.24</v>
      </c>
      <c r="D48" s="247">
        <f>+C48</f>
        <v>24970.24</v>
      </c>
      <c r="E48" s="247"/>
      <c r="F48" s="247">
        <f>+C48-D48-E48-G48</f>
        <v>0</v>
      </c>
      <c r="G48" s="226"/>
      <c r="H48" s="226"/>
      <c r="I48" s="204" t="s">
        <v>420</v>
      </c>
      <c r="J48" s="252" t="s">
        <v>521</v>
      </c>
    </row>
    <row r="49" spans="1:10" ht="12.75">
      <c r="A49" s="181">
        <v>1901044</v>
      </c>
      <c r="B49" s="181" t="s">
        <v>456</v>
      </c>
      <c r="C49" s="492">
        <v>1986334.96</v>
      </c>
      <c r="D49" s="249"/>
      <c r="E49" s="249"/>
      <c r="F49" s="249">
        <f>+C49-G49</f>
        <v>1986334.96</v>
      </c>
      <c r="G49" s="226"/>
      <c r="H49" s="226"/>
      <c r="I49" s="204" t="s">
        <v>420</v>
      </c>
      <c r="J49" s="181" t="s">
        <v>610</v>
      </c>
    </row>
    <row r="50" spans="1:10" ht="12.75">
      <c r="A50" s="181">
        <v>1901045</v>
      </c>
      <c r="B50" s="181" t="s">
        <v>458</v>
      </c>
      <c r="C50" s="492">
        <v>-1139087.11</v>
      </c>
      <c r="D50" s="249"/>
      <c r="E50" s="249"/>
      <c r="F50" s="249">
        <f>+C50-G50</f>
        <v>0</v>
      </c>
      <c r="G50" s="226">
        <f>+C50</f>
        <v>-1139087.11</v>
      </c>
      <c r="H50" s="226"/>
      <c r="I50" s="204" t="s">
        <v>420</v>
      </c>
      <c r="J50" s="181" t="s">
        <v>459</v>
      </c>
    </row>
    <row r="51" spans="1:10" ht="12.75">
      <c r="A51" s="181">
        <v>1901046</v>
      </c>
      <c r="B51" s="181" t="s">
        <v>460</v>
      </c>
      <c r="C51" s="492">
        <v>385859</v>
      </c>
      <c r="D51" s="249">
        <f>+C51</f>
        <v>385859</v>
      </c>
      <c r="E51" s="249"/>
      <c r="G51" s="226"/>
      <c r="H51" s="226"/>
      <c r="I51" s="204" t="s">
        <v>420</v>
      </c>
      <c r="J51" s="203" t="s">
        <v>461</v>
      </c>
    </row>
    <row r="52" spans="1:10" ht="12.75">
      <c r="A52" s="490">
        <v>1901048</v>
      </c>
      <c r="B52" s="495" t="s">
        <v>748</v>
      </c>
      <c r="C52" s="501">
        <v>198658</v>
      </c>
      <c r="D52" s="249">
        <f>+C52</f>
        <v>198658</v>
      </c>
      <c r="E52" s="249"/>
      <c r="G52" s="226"/>
      <c r="H52" s="226"/>
      <c r="I52" s="506" t="s">
        <v>420</v>
      </c>
      <c r="J52" s="505" t="s">
        <v>483</v>
      </c>
    </row>
    <row r="53" spans="1:10" ht="12.75">
      <c r="A53" s="181">
        <v>1901085</v>
      </c>
      <c r="B53" s="181" t="s">
        <v>462</v>
      </c>
      <c r="C53" s="492">
        <v>240064.25</v>
      </c>
      <c r="D53" s="249">
        <f>+C53</f>
        <v>240064.25</v>
      </c>
      <c r="E53" s="249"/>
      <c r="F53" s="247">
        <f>+C53-D53-E53-G53</f>
        <v>0</v>
      </c>
      <c r="G53" s="226"/>
      <c r="H53" s="226"/>
      <c r="I53" s="204" t="s">
        <v>420</v>
      </c>
      <c r="J53" s="181" t="s">
        <v>463</v>
      </c>
    </row>
    <row r="54" spans="1:10" ht="12.75">
      <c r="A54" s="181">
        <v>1901086</v>
      </c>
      <c r="B54" s="181" t="s">
        <v>464</v>
      </c>
      <c r="C54" s="492">
        <v>211905.09</v>
      </c>
      <c r="D54" s="249"/>
      <c r="E54" s="249"/>
      <c r="F54" s="249">
        <f>+C54-G54</f>
        <v>0</v>
      </c>
      <c r="G54" s="226">
        <f>+C54</f>
        <v>211905.09</v>
      </c>
      <c r="H54" s="226"/>
      <c r="I54" s="204" t="s">
        <v>420</v>
      </c>
      <c r="J54" s="181" t="s">
        <v>465</v>
      </c>
    </row>
    <row r="55" spans="1:10" ht="12.75">
      <c r="A55" s="181">
        <v>1901087</v>
      </c>
      <c r="B55" s="181" t="s">
        <v>466</v>
      </c>
      <c r="C55" s="492">
        <v>4803189.31</v>
      </c>
      <c r="D55" s="249"/>
      <c r="E55" s="249"/>
      <c r="F55" s="249">
        <f>+C55-G55</f>
        <v>0</v>
      </c>
      <c r="G55" s="226">
        <f>+C55</f>
        <v>4803189.31</v>
      </c>
      <c r="H55" s="226"/>
      <c r="I55" s="204" t="s">
        <v>420</v>
      </c>
      <c r="J55" s="181" t="s">
        <v>467</v>
      </c>
    </row>
    <row r="56" spans="1:10" s="195" customFormat="1" ht="26.25">
      <c r="A56" s="205">
        <v>1901090</v>
      </c>
      <c r="B56" s="207" t="s">
        <v>611</v>
      </c>
      <c r="C56" s="492">
        <v>938791.61</v>
      </c>
      <c r="D56" s="250"/>
      <c r="E56" s="250">
        <f>C56</f>
        <v>938791.61</v>
      </c>
      <c r="F56" s="250">
        <f>+C56-D56-E56-G56</f>
        <v>0</v>
      </c>
      <c r="G56" s="226"/>
      <c r="H56" s="226"/>
      <c r="I56" s="202" t="s">
        <v>420</v>
      </c>
      <c r="J56" s="367" t="s">
        <v>728</v>
      </c>
    </row>
    <row r="57" spans="1:10" ht="26.25">
      <c r="A57" s="200">
        <v>1901091</v>
      </c>
      <c r="B57" s="200" t="s">
        <v>481</v>
      </c>
      <c r="C57" s="492">
        <v>580415.71</v>
      </c>
      <c r="D57" s="251">
        <f>+C57</f>
        <v>580415.71</v>
      </c>
      <c r="E57" s="251"/>
      <c r="F57" s="250">
        <f>+C57-D57-E57-G57</f>
        <v>0</v>
      </c>
      <c r="G57" s="226"/>
      <c r="H57" s="226"/>
      <c r="I57" s="202" t="s">
        <v>420</v>
      </c>
      <c r="J57" s="203" t="s">
        <v>486</v>
      </c>
    </row>
    <row r="58" spans="1:10" ht="12.75">
      <c r="A58" s="209">
        <v>1901092</v>
      </c>
      <c r="B58" s="209" t="s">
        <v>487</v>
      </c>
      <c r="C58" s="492">
        <v>2810321.24</v>
      </c>
      <c r="D58" s="249">
        <f>+C58</f>
        <v>2810321.24</v>
      </c>
      <c r="E58" s="249"/>
      <c r="F58" s="247" t="s">
        <v>105</v>
      </c>
      <c r="G58" s="226"/>
      <c r="H58" s="226"/>
      <c r="I58" s="204" t="s">
        <v>489</v>
      </c>
      <c r="J58" s="209" t="s">
        <v>490</v>
      </c>
    </row>
    <row r="59" spans="1:10" ht="12.75">
      <c r="A59" s="181">
        <v>1901093</v>
      </c>
      <c r="B59" s="181" t="s">
        <v>491</v>
      </c>
      <c r="C59" s="492">
        <v>2979527.67</v>
      </c>
      <c r="D59" s="249"/>
      <c r="E59" s="249"/>
      <c r="F59" s="249">
        <f>+C59-G59</f>
        <v>0</v>
      </c>
      <c r="G59" s="226">
        <f>+C59</f>
        <v>2979527.67</v>
      </c>
      <c r="H59" s="226"/>
      <c r="I59" s="204" t="s">
        <v>420</v>
      </c>
      <c r="J59" s="181" t="s">
        <v>492</v>
      </c>
    </row>
    <row r="60" spans="1:10" ht="12.75">
      <c r="A60" s="200">
        <v>1901094</v>
      </c>
      <c r="B60" s="200" t="s">
        <v>493</v>
      </c>
      <c r="C60" s="492">
        <v>0</v>
      </c>
      <c r="D60" s="251"/>
      <c r="E60" s="251"/>
      <c r="F60" s="251">
        <f>+C60-G60</f>
        <v>0</v>
      </c>
      <c r="G60" s="226"/>
      <c r="H60" s="226"/>
      <c r="I60" s="202" t="s">
        <v>420</v>
      </c>
      <c r="J60" s="203" t="s">
        <v>494</v>
      </c>
    </row>
    <row r="61" spans="1:10" ht="39" customHeight="1">
      <c r="A61" s="200">
        <v>1901098</v>
      </c>
      <c r="B61" s="200" t="s">
        <v>495</v>
      </c>
      <c r="C61" s="492">
        <v>-1182987.62</v>
      </c>
      <c r="D61" s="251"/>
      <c r="E61" s="251"/>
      <c r="F61" s="251">
        <f>+C61-G61</f>
        <v>-1182987.62</v>
      </c>
      <c r="G61" s="226"/>
      <c r="H61" s="226"/>
      <c r="I61" s="202" t="s">
        <v>420</v>
      </c>
      <c r="J61" s="203" t="s">
        <v>496</v>
      </c>
    </row>
    <row r="62" spans="1:10" ht="12.75">
      <c r="A62" s="181">
        <v>1901099</v>
      </c>
      <c r="B62" s="181" t="s">
        <v>497</v>
      </c>
      <c r="C62" s="492">
        <v>49722</v>
      </c>
      <c r="D62" s="248"/>
      <c r="E62" s="248"/>
      <c r="F62" s="249"/>
      <c r="G62" s="226"/>
      <c r="H62" s="226">
        <f>C62</f>
        <v>49722</v>
      </c>
      <c r="I62" s="204" t="s">
        <v>420</v>
      </c>
      <c r="J62" s="181" t="s">
        <v>498</v>
      </c>
    </row>
    <row r="63" spans="1:8" ht="12.75">
      <c r="A63" s="181" t="s">
        <v>105</v>
      </c>
      <c r="B63" s="181" t="s">
        <v>105</v>
      </c>
      <c r="C63" s="248" t="s">
        <v>105</v>
      </c>
      <c r="D63" s="248"/>
      <c r="E63" s="248"/>
      <c r="F63" s="248" t="s">
        <v>105</v>
      </c>
      <c r="G63" s="226"/>
      <c r="H63" s="226"/>
    </row>
    <row r="64" spans="1:8" ht="12.75">
      <c r="A64" s="181"/>
      <c r="B64" s="212" t="s">
        <v>518</v>
      </c>
      <c r="C64" s="248"/>
      <c r="D64" s="248"/>
      <c r="E64" s="248"/>
      <c r="F64" s="248"/>
      <c r="G64" s="226"/>
      <c r="H64" s="226"/>
    </row>
    <row r="65" spans="1:10" ht="12.75">
      <c r="A65" s="181">
        <v>1902016</v>
      </c>
      <c r="B65" s="181" t="s">
        <v>612</v>
      </c>
      <c r="C65" s="496">
        <v>-1415657</v>
      </c>
      <c r="D65" s="248"/>
      <c r="E65" s="248"/>
      <c r="F65" s="247"/>
      <c r="G65" s="226"/>
      <c r="H65" s="226"/>
      <c r="I65" s="204" t="s">
        <v>489</v>
      </c>
      <c r="J65" s="181" t="s">
        <v>521</v>
      </c>
    </row>
    <row r="66" spans="1:10" ht="12.75">
      <c r="A66" s="200">
        <v>1902043</v>
      </c>
      <c r="B66" s="208" t="s">
        <v>522</v>
      </c>
      <c r="C66" s="492">
        <v>134027.66</v>
      </c>
      <c r="D66" s="253"/>
      <c r="E66" s="254"/>
      <c r="F66" s="247"/>
      <c r="G66" s="226"/>
      <c r="H66" s="226"/>
      <c r="I66" s="202" t="s">
        <v>489</v>
      </c>
      <c r="J66" s="200" t="s">
        <v>521</v>
      </c>
    </row>
    <row r="67" spans="1:10" ht="12.75">
      <c r="A67" s="181">
        <v>1902061</v>
      </c>
      <c r="B67" s="181" t="s">
        <v>523</v>
      </c>
      <c r="C67" s="492">
        <v>-25239.14</v>
      </c>
      <c r="D67" s="248"/>
      <c r="E67" s="249"/>
      <c r="F67" s="247"/>
      <c r="G67" s="226"/>
      <c r="H67" s="226"/>
      <c r="I67" s="204" t="s">
        <v>489</v>
      </c>
      <c r="J67" s="181" t="s">
        <v>521</v>
      </c>
    </row>
    <row r="68" spans="1:10" ht="12.75">
      <c r="A68" s="181">
        <v>1902063</v>
      </c>
      <c r="B68" s="181" t="s">
        <v>613</v>
      </c>
      <c r="C68" s="492">
        <v>16616985.45</v>
      </c>
      <c r="D68" s="248"/>
      <c r="E68" s="249"/>
      <c r="F68" s="247"/>
      <c r="G68" s="226"/>
      <c r="H68" s="226"/>
      <c r="I68" s="204" t="s">
        <v>489</v>
      </c>
      <c r="J68" s="181" t="s">
        <v>521</v>
      </c>
    </row>
    <row r="69" spans="1:10" ht="12.75">
      <c r="A69" s="181">
        <v>1902064</v>
      </c>
      <c r="B69" s="181" t="s">
        <v>614</v>
      </c>
      <c r="C69" s="492">
        <v>9325025.74</v>
      </c>
      <c r="D69" s="248"/>
      <c r="E69" s="249"/>
      <c r="F69" s="247"/>
      <c r="G69" s="226"/>
      <c r="H69" s="226"/>
      <c r="I69" s="204" t="s">
        <v>489</v>
      </c>
      <c r="J69" s="181" t="s">
        <v>521</v>
      </c>
    </row>
    <row r="70" spans="1:10" ht="12.75">
      <c r="A70" s="181">
        <v>1902065</v>
      </c>
      <c r="B70" s="181" t="s">
        <v>615</v>
      </c>
      <c r="C70" s="492">
        <v>149124.76</v>
      </c>
      <c r="D70" s="248"/>
      <c r="E70" s="249"/>
      <c r="F70" s="247"/>
      <c r="G70" s="226"/>
      <c r="H70" s="226"/>
      <c r="I70" s="204" t="s">
        <v>489</v>
      </c>
      <c r="J70" s="181" t="s">
        <v>521</v>
      </c>
    </row>
    <row r="71" spans="1:10" ht="12.75">
      <c r="A71" s="181">
        <v>1902072</v>
      </c>
      <c r="B71" s="181" t="s">
        <v>529</v>
      </c>
      <c r="C71" s="492">
        <v>101544.41</v>
      </c>
      <c r="D71" s="248"/>
      <c r="E71" s="249"/>
      <c r="F71" s="247"/>
      <c r="G71" s="226"/>
      <c r="H71" s="226"/>
      <c r="I71" s="204" t="s">
        <v>489</v>
      </c>
      <c r="J71" s="181" t="s">
        <v>521</v>
      </c>
    </row>
    <row r="72" spans="1:10" ht="12.75">
      <c r="A72" s="181">
        <v>1902073</v>
      </c>
      <c r="B72" s="181" t="s">
        <v>530</v>
      </c>
      <c r="C72" s="492">
        <v>-48446.01</v>
      </c>
      <c r="D72" s="248"/>
      <c r="E72" s="249"/>
      <c r="F72" s="247"/>
      <c r="G72" s="226"/>
      <c r="H72" s="226"/>
      <c r="I72" s="204" t="s">
        <v>489</v>
      </c>
      <c r="J72" s="181" t="s">
        <v>521</v>
      </c>
    </row>
    <row r="73" spans="1:10" ht="12.75">
      <c r="A73" s="181">
        <v>1902080</v>
      </c>
      <c r="B73" s="181" t="s">
        <v>616</v>
      </c>
      <c r="C73" s="492">
        <v>1416901.5</v>
      </c>
      <c r="D73" s="248"/>
      <c r="E73" s="249"/>
      <c r="F73" s="247"/>
      <c r="G73" s="226"/>
      <c r="H73" s="226"/>
      <c r="I73" s="204" t="s">
        <v>489</v>
      </c>
      <c r="J73" s="181" t="s">
        <v>521</v>
      </c>
    </row>
    <row r="74" spans="1:10" ht="12.75">
      <c r="A74" s="181">
        <v>1902090</v>
      </c>
      <c r="B74" s="181" t="s">
        <v>537</v>
      </c>
      <c r="C74" s="492">
        <v>-382365.73</v>
      </c>
      <c r="D74" s="248"/>
      <c r="E74" s="248"/>
      <c r="F74" s="247"/>
      <c r="G74" s="226"/>
      <c r="H74" s="226"/>
      <c r="I74" s="204" t="s">
        <v>489</v>
      </c>
      <c r="J74" s="181" t="s">
        <v>521</v>
      </c>
    </row>
    <row r="75" spans="1:8" ht="12.75">
      <c r="A75" s="181" t="s">
        <v>105</v>
      </c>
      <c r="B75" s="181" t="s">
        <v>105</v>
      </c>
      <c r="C75" s="248" t="s">
        <v>105</v>
      </c>
      <c r="D75" s="248"/>
      <c r="E75" s="248"/>
      <c r="F75" s="248" t="s">
        <v>105</v>
      </c>
      <c r="G75" s="226"/>
      <c r="H75" s="226"/>
    </row>
    <row r="76" spans="1:8" ht="12.75">
      <c r="A76" s="181"/>
      <c r="C76" s="249"/>
      <c r="D76" s="249"/>
      <c r="E76" s="249"/>
      <c r="F76" s="249"/>
      <c r="G76" s="226"/>
      <c r="H76" s="226"/>
    </row>
    <row r="77" spans="1:10" ht="12.75">
      <c r="A77" s="197" t="s">
        <v>617</v>
      </c>
      <c r="C77" s="420">
        <f>-C28</f>
        <v>-4735700.36</v>
      </c>
      <c r="D77" s="420">
        <f>-D28</f>
        <v>-4735700.36</v>
      </c>
      <c r="E77" s="248"/>
      <c r="F77" s="247">
        <f>+C77-D77-E77-G77</f>
        <v>0</v>
      </c>
      <c r="G77" s="226"/>
      <c r="H77" s="226"/>
      <c r="J77" s="181" t="s">
        <v>417</v>
      </c>
    </row>
    <row r="78" spans="1:8" ht="12.75">
      <c r="A78" s="181"/>
      <c r="F78" s="255"/>
      <c r="G78" s="226"/>
      <c r="H78" s="226"/>
    </row>
    <row r="79" spans="2:10" ht="13.5">
      <c r="B79" s="215" t="s">
        <v>539</v>
      </c>
      <c r="D79" s="249">
        <f>SUM(D28:D77)</f>
        <v>74408706.42999999</v>
      </c>
      <c r="E79" s="249">
        <f>SUM(E28:E77)</f>
        <v>938791.61</v>
      </c>
      <c r="F79" s="226">
        <f>SUM(F28:F77)</f>
        <v>3864254.09</v>
      </c>
      <c r="G79" s="226">
        <f>SUM(G28:G77)</f>
        <v>7493359.959999999</v>
      </c>
      <c r="H79" s="226">
        <f>SUM(H28:H77)</f>
        <v>1096190</v>
      </c>
      <c r="I79" s="216">
        <f>+D79+E79+F79+G79+H79</f>
        <v>87801302.08999999</v>
      </c>
      <c r="J79" s="257" t="s">
        <v>105</v>
      </c>
    </row>
    <row r="80" spans="2:9" ht="13.5">
      <c r="B80" s="217" t="s">
        <v>540</v>
      </c>
      <c r="F80" s="226">
        <v>0</v>
      </c>
      <c r="G80" s="226">
        <v>0</v>
      </c>
      <c r="H80" s="226">
        <v>0</v>
      </c>
      <c r="I80" s="258" t="s">
        <v>105</v>
      </c>
    </row>
    <row r="81" spans="2:9" ht="13.5">
      <c r="B81" s="217" t="s">
        <v>541</v>
      </c>
      <c r="F81" s="226">
        <v>0</v>
      </c>
      <c r="G81" s="226">
        <v>0</v>
      </c>
      <c r="H81" s="226">
        <v>0</v>
      </c>
      <c r="I81" s="220" t="s">
        <v>105</v>
      </c>
    </row>
    <row r="82" spans="2:8" ht="13.5">
      <c r="B82" s="217" t="s">
        <v>113</v>
      </c>
      <c r="D82" s="226">
        <f>+D79-D80-D81</f>
        <v>74408706.42999999</v>
      </c>
      <c r="E82" s="226">
        <f>+E79-E80-E81</f>
        <v>938791.61</v>
      </c>
      <c r="F82" s="226">
        <f>+F79-F80-F81</f>
        <v>3864254.09</v>
      </c>
      <c r="G82" s="226">
        <f>+G79-G80-G81</f>
        <v>7493359.959999999</v>
      </c>
      <c r="H82" s="226">
        <f>+H79-H80-H81</f>
        <v>1096190</v>
      </c>
    </row>
    <row r="83" spans="1:9" ht="21">
      <c r="A83" s="388" t="str">
        <f>A1</f>
        <v>Worksheet G-WES ADIT</v>
      </c>
      <c r="B83" s="221"/>
      <c r="F83" s="222"/>
      <c r="G83" s="222"/>
      <c r="H83" s="222"/>
      <c r="I83" s="249"/>
    </row>
    <row r="84" spans="2:10" ht="15">
      <c r="B84" s="217"/>
      <c r="F84" s="222"/>
      <c r="G84" s="222"/>
      <c r="H84" s="222"/>
      <c r="I84" s="223"/>
      <c r="J84" s="410" t="s">
        <v>87</v>
      </c>
    </row>
    <row r="85" spans="1:10" ht="17.25">
      <c r="A85" s="531" t="str">
        <f>A3</f>
        <v>Kansas Gas and Electric Company</v>
      </c>
      <c r="B85" s="522"/>
      <c r="C85" s="522"/>
      <c r="D85" s="522"/>
      <c r="E85" s="522"/>
      <c r="F85" s="522"/>
      <c r="G85" s="522"/>
      <c r="H85" s="522"/>
      <c r="I85" s="522"/>
      <c r="J85" s="522"/>
    </row>
    <row r="86" spans="1:10" ht="17.25">
      <c r="A86" s="531" t="str">
        <f>A4</f>
        <v>Allocation of ADIT</v>
      </c>
      <c r="B86" s="522"/>
      <c r="C86" s="522"/>
      <c r="D86" s="522"/>
      <c r="E86" s="522"/>
      <c r="F86" s="522"/>
      <c r="G86" s="522"/>
      <c r="H86" s="522"/>
      <c r="I86" s="522"/>
      <c r="J86" s="522"/>
    </row>
    <row r="87" spans="7:8" ht="12.75">
      <c r="G87" s="183"/>
      <c r="H87" s="183"/>
    </row>
    <row r="88" spans="2:10" ht="12.75">
      <c r="B88" s="225"/>
      <c r="C88" s="185" t="str">
        <f aca="true" t="shared" si="1" ref="C88:J88">C23</f>
        <v>(A)</v>
      </c>
      <c r="D88" s="185" t="str">
        <f t="shared" si="1"/>
        <v>(B)</v>
      </c>
      <c r="E88" s="185" t="str">
        <f t="shared" si="1"/>
        <v>(C)</v>
      </c>
      <c r="F88" s="185" t="str">
        <f t="shared" si="1"/>
        <v>(D)</v>
      </c>
      <c r="G88" s="185" t="str">
        <f t="shared" si="1"/>
        <v>(E)</v>
      </c>
      <c r="H88" s="185" t="str">
        <f>H23</f>
        <v>(F)</v>
      </c>
      <c r="I88" s="185" t="str">
        <f t="shared" si="1"/>
        <v>(G)</v>
      </c>
      <c r="J88" s="185" t="str">
        <f t="shared" si="1"/>
        <v>(G)</v>
      </c>
    </row>
    <row r="89" spans="2:10" ht="12.75">
      <c r="B89" s="183" t="s">
        <v>542</v>
      </c>
      <c r="D89" s="184">
        <v>1</v>
      </c>
      <c r="E89" s="184">
        <v>1</v>
      </c>
      <c r="F89" s="185"/>
      <c r="G89" s="185"/>
      <c r="H89" s="185" t="str">
        <f>H24</f>
        <v>100% Retail</v>
      </c>
      <c r="I89" s="185" t="str">
        <f aca="true" t="shared" si="2" ref="I89:J91">I24</f>
        <v>In</v>
      </c>
      <c r="J89" s="185" t="str">
        <f t="shared" si="2"/>
        <v> </v>
      </c>
    </row>
    <row r="90" spans="2:10" ht="13.5">
      <c r="B90" s="217"/>
      <c r="C90" s="193">
        <v>2005</v>
      </c>
      <c r="D90" s="185" t="s">
        <v>402</v>
      </c>
      <c r="E90" s="185" t="s">
        <v>137</v>
      </c>
      <c r="F90" s="185" t="str">
        <f>F25</f>
        <v>Plant </v>
      </c>
      <c r="G90" s="185" t="str">
        <f>G25</f>
        <v>Labor</v>
      </c>
      <c r="H90" s="185" t="str">
        <f>H25</f>
        <v>[Allocate</v>
      </c>
      <c r="I90" s="185" t="str">
        <f t="shared" si="2"/>
        <v>Adjustment</v>
      </c>
      <c r="J90" s="185" t="str">
        <f t="shared" si="2"/>
        <v>Description</v>
      </c>
    </row>
    <row r="91" spans="2:10" ht="13.5">
      <c r="B91" s="194"/>
      <c r="C91" s="185" t="str">
        <f>C26</f>
        <v>YE Balance</v>
      </c>
      <c r="D91" s="185" t="s">
        <v>405</v>
      </c>
      <c r="E91" s="185" t="s">
        <v>405</v>
      </c>
      <c r="F91" s="185" t="str">
        <f>F26</f>
        <v>Related</v>
      </c>
      <c r="G91" s="185" t="str">
        <f>G26</f>
        <v>Related</v>
      </c>
      <c r="H91" s="185" t="str">
        <f>H26</f>
        <v>by Plant]</v>
      </c>
      <c r="I91" s="185" t="str">
        <f t="shared" si="2"/>
        <v>to Ratebase</v>
      </c>
      <c r="J91" s="185" t="str">
        <f t="shared" si="2"/>
        <v>and Justification</v>
      </c>
    </row>
    <row r="92" spans="2:10" ht="13.5">
      <c r="B92" s="194"/>
      <c r="C92" s="185"/>
      <c r="D92" s="185"/>
      <c r="E92" s="185"/>
      <c r="F92" s="185"/>
      <c r="G92" s="185"/>
      <c r="H92" s="185"/>
      <c r="I92" s="185"/>
      <c r="J92" s="185"/>
    </row>
    <row r="93" spans="2:8" ht="12.75">
      <c r="B93" s="198" t="s">
        <v>543</v>
      </c>
      <c r="F93" s="226"/>
      <c r="G93" s="226"/>
      <c r="H93" s="226"/>
    </row>
    <row r="94" spans="1:10" s="195" customFormat="1" ht="39">
      <c r="A94" s="205">
        <v>2821003</v>
      </c>
      <c r="B94" s="205" t="s">
        <v>544</v>
      </c>
      <c r="C94" s="484">
        <v>375347624.61</v>
      </c>
      <c r="D94" s="259"/>
      <c r="E94" s="259"/>
      <c r="F94" s="250">
        <f>+C94-G94</f>
        <v>375347624.61</v>
      </c>
      <c r="G94" s="226"/>
      <c r="H94" s="226"/>
      <c r="I94" s="228" t="s">
        <v>420</v>
      </c>
      <c r="J94" s="203" t="s">
        <v>545</v>
      </c>
    </row>
    <row r="95" spans="1:10" ht="26.25">
      <c r="A95" s="200">
        <v>2821004</v>
      </c>
      <c r="B95" s="200" t="s">
        <v>548</v>
      </c>
      <c r="C95" s="484">
        <v>6801035.02</v>
      </c>
      <c r="D95" s="253"/>
      <c r="E95" s="253"/>
      <c r="F95" s="251">
        <f>+C95-G95</f>
        <v>6801035.02</v>
      </c>
      <c r="G95" s="260"/>
      <c r="H95" s="260"/>
      <c r="I95" s="202" t="s">
        <v>420</v>
      </c>
      <c r="J95" s="203" t="s">
        <v>549</v>
      </c>
    </row>
    <row r="96" spans="1:10" ht="12.75">
      <c r="A96" s="200">
        <v>2821005</v>
      </c>
      <c r="B96" s="200" t="s">
        <v>550</v>
      </c>
      <c r="C96" s="484">
        <v>1348381.81</v>
      </c>
      <c r="D96" s="253"/>
      <c r="E96" s="253"/>
      <c r="F96" s="251">
        <f>+C96-G96</f>
        <v>1348381.81</v>
      </c>
      <c r="G96" s="260"/>
      <c r="H96" s="260"/>
      <c r="I96" s="202" t="s">
        <v>420</v>
      </c>
      <c r="J96" s="208" t="s">
        <v>618</v>
      </c>
    </row>
    <row r="97" spans="1:10" ht="18" customHeight="1">
      <c r="A97" s="200">
        <v>2821007</v>
      </c>
      <c r="B97" s="200" t="s">
        <v>554</v>
      </c>
      <c r="C97" s="484">
        <v>9074251</v>
      </c>
      <c r="D97" s="253"/>
      <c r="E97" s="253"/>
      <c r="F97" s="251">
        <f>+C97-G97</f>
        <v>9074251</v>
      </c>
      <c r="G97" s="260"/>
      <c r="H97" s="260"/>
      <c r="I97" s="202" t="s">
        <v>420</v>
      </c>
      <c r="J97" s="208" t="s">
        <v>619</v>
      </c>
    </row>
    <row r="98" spans="1:10" ht="39">
      <c r="A98" s="200">
        <v>2821009</v>
      </c>
      <c r="B98" s="208" t="s">
        <v>620</v>
      </c>
      <c r="C98" s="484">
        <v>-499905.56</v>
      </c>
      <c r="D98" s="253">
        <f>+C98</f>
        <v>-499905.56</v>
      </c>
      <c r="E98" s="253"/>
      <c r="F98" s="251">
        <f>+C98-D98-E98-G98</f>
        <v>0</v>
      </c>
      <c r="G98" s="260"/>
      <c r="H98" s="260"/>
      <c r="I98" s="202" t="s">
        <v>420</v>
      </c>
      <c r="J98" s="203" t="s">
        <v>621</v>
      </c>
    </row>
    <row r="99" spans="1:10" ht="26.25">
      <c r="A99" s="200">
        <v>2821024</v>
      </c>
      <c r="B99" s="200" t="s">
        <v>556</v>
      </c>
      <c r="C99" s="484">
        <v>-1763244.06</v>
      </c>
      <c r="D99" s="253"/>
      <c r="E99" s="253"/>
      <c r="F99" s="251">
        <f>C99</f>
        <v>-1763244.06</v>
      </c>
      <c r="G99" s="260"/>
      <c r="H99" s="260"/>
      <c r="I99" s="202" t="s">
        <v>420</v>
      </c>
      <c r="J99" s="203" t="s">
        <v>557</v>
      </c>
    </row>
    <row r="100" spans="1:10" ht="26.25">
      <c r="A100" s="200">
        <v>2821025</v>
      </c>
      <c r="B100" s="200" t="s">
        <v>558</v>
      </c>
      <c r="C100" s="484">
        <v>-10750029.93</v>
      </c>
      <c r="D100" s="253"/>
      <c r="E100" s="253"/>
      <c r="F100" s="251"/>
      <c r="G100" s="260"/>
      <c r="H100" s="260">
        <f>C100</f>
        <v>-10750029.93</v>
      </c>
      <c r="I100" s="202" t="s">
        <v>420</v>
      </c>
      <c r="J100" s="203" t="s">
        <v>559</v>
      </c>
    </row>
    <row r="101" spans="1:9" ht="12.75">
      <c r="A101" s="181"/>
      <c r="C101" s="248"/>
      <c r="D101" s="248"/>
      <c r="E101" s="248"/>
      <c r="F101" s="248"/>
      <c r="G101" s="226"/>
      <c r="H101" s="226"/>
      <c r="I101" s="204"/>
    </row>
    <row r="102" spans="1:9" ht="12.75">
      <c r="A102" s="198" t="s">
        <v>105</v>
      </c>
      <c r="B102" s="198" t="s">
        <v>622</v>
      </c>
      <c r="C102" s="248" t="s">
        <v>105</v>
      </c>
      <c r="D102" s="248"/>
      <c r="E102" s="248"/>
      <c r="F102" s="248" t="s">
        <v>105</v>
      </c>
      <c r="G102" s="226"/>
      <c r="H102" s="226"/>
      <c r="I102" s="204"/>
    </row>
    <row r="103" spans="1:10" ht="39">
      <c r="A103" s="200">
        <v>2822001</v>
      </c>
      <c r="B103" s="208" t="s">
        <v>623</v>
      </c>
      <c r="C103" s="484">
        <v>-12777056.89</v>
      </c>
      <c r="D103" s="253">
        <f>+C103</f>
        <v>-12777056.89</v>
      </c>
      <c r="E103" s="253"/>
      <c r="F103" s="251">
        <f>+C103-D103-E103-G103</f>
        <v>0</v>
      </c>
      <c r="G103" s="260"/>
      <c r="H103" s="260"/>
      <c r="I103" s="202" t="s">
        <v>420</v>
      </c>
      <c r="J103" s="203" t="s">
        <v>624</v>
      </c>
    </row>
    <row r="104" spans="1:10" s="195" customFormat="1" ht="26.25">
      <c r="A104" s="205">
        <v>2822003</v>
      </c>
      <c r="B104" s="207" t="s">
        <v>560</v>
      </c>
      <c r="C104" s="484">
        <v>0</v>
      </c>
      <c r="D104" s="259"/>
      <c r="E104" s="259"/>
      <c r="F104" s="250">
        <f>+C104-G104</f>
        <v>0</v>
      </c>
      <c r="G104" s="260"/>
      <c r="H104" s="260"/>
      <c r="I104" s="228" t="s">
        <v>420</v>
      </c>
      <c r="J104" s="203" t="s">
        <v>625</v>
      </c>
    </row>
    <row r="105" spans="1:8" ht="12.75">
      <c r="A105" s="181"/>
      <c r="C105" s="248"/>
      <c r="D105" s="248"/>
      <c r="E105" s="248"/>
      <c r="F105" s="248"/>
      <c r="G105" s="226"/>
      <c r="H105" s="226"/>
    </row>
    <row r="106" spans="1:8" ht="12.75">
      <c r="A106" s="198" t="s">
        <v>105</v>
      </c>
      <c r="B106" s="212" t="s">
        <v>562</v>
      </c>
      <c r="C106" s="248" t="s">
        <v>105</v>
      </c>
      <c r="D106" s="248"/>
      <c r="E106" s="248"/>
      <c r="F106" s="248" t="s">
        <v>105</v>
      </c>
      <c r="G106" s="226"/>
      <c r="H106" s="226"/>
    </row>
    <row r="107" spans="1:10" ht="12.75">
      <c r="A107" s="181">
        <v>2825130</v>
      </c>
      <c r="B107" s="181" t="s">
        <v>563</v>
      </c>
      <c r="C107" s="484">
        <v>80465585</v>
      </c>
      <c r="D107" s="248"/>
      <c r="E107" s="248"/>
      <c r="F107" s="251"/>
      <c r="G107" s="226"/>
      <c r="H107" s="226"/>
      <c r="I107" s="204" t="s">
        <v>489</v>
      </c>
      <c r="J107" s="181" t="s">
        <v>490</v>
      </c>
    </row>
    <row r="108" spans="1:10" ht="12.75">
      <c r="A108" s="181">
        <v>2825230</v>
      </c>
      <c r="B108" s="181" t="s">
        <v>564</v>
      </c>
      <c r="C108" s="484">
        <v>-29131829</v>
      </c>
      <c r="D108" s="248"/>
      <c r="E108" s="248"/>
      <c r="F108" s="251"/>
      <c r="G108" s="226"/>
      <c r="H108" s="226"/>
      <c r="I108" s="204" t="s">
        <v>489</v>
      </c>
      <c r="J108" s="181" t="s">
        <v>490</v>
      </c>
    </row>
    <row r="109" spans="1:10" ht="12.75">
      <c r="A109" s="181">
        <v>2825330</v>
      </c>
      <c r="B109" s="181" t="s">
        <v>565</v>
      </c>
      <c r="C109" s="484">
        <v>120206079</v>
      </c>
      <c r="D109" s="248"/>
      <c r="E109" s="248"/>
      <c r="F109" s="251"/>
      <c r="G109" s="226"/>
      <c r="H109" s="226"/>
      <c r="I109" s="204" t="s">
        <v>489</v>
      </c>
      <c r="J109" s="181" t="s">
        <v>490</v>
      </c>
    </row>
    <row r="110" spans="1:10" ht="12.75">
      <c r="A110" s="181">
        <v>2825830</v>
      </c>
      <c r="B110" s="181" t="s">
        <v>566</v>
      </c>
      <c r="C110" s="484">
        <v>-47542742</v>
      </c>
      <c r="D110" s="248"/>
      <c r="E110" s="248"/>
      <c r="F110" s="251"/>
      <c r="G110" s="226"/>
      <c r="H110" s="226"/>
      <c r="I110" s="204" t="s">
        <v>489</v>
      </c>
      <c r="J110" s="181" t="s">
        <v>490</v>
      </c>
    </row>
    <row r="111" spans="2:8" ht="13.5">
      <c r="B111" s="194"/>
      <c r="F111" s="226"/>
      <c r="G111" s="226"/>
      <c r="H111" s="226"/>
    </row>
    <row r="112" spans="2:9" ht="13.5">
      <c r="B112" s="215" t="s">
        <v>567</v>
      </c>
      <c r="D112" s="249">
        <f>SUM(D94:D110)</f>
        <v>-13276962.450000001</v>
      </c>
      <c r="E112" s="249">
        <f>SUM(E94:E110)</f>
        <v>0</v>
      </c>
      <c r="F112" s="226">
        <f>SUM(F94:F110)</f>
        <v>390808048.38</v>
      </c>
      <c r="G112" s="226">
        <f>SUM(G94:G110)</f>
        <v>0</v>
      </c>
      <c r="H112" s="226">
        <f>SUM(H94:H110)</f>
        <v>-10750029.93</v>
      </c>
      <c r="I112" s="216">
        <f>SUM(D112:H112)</f>
        <v>366781056</v>
      </c>
    </row>
    <row r="113" spans="2:9" ht="13.5">
      <c r="B113" s="217" t="s">
        <v>540</v>
      </c>
      <c r="F113" s="226"/>
      <c r="G113" s="226"/>
      <c r="H113" s="226"/>
      <c r="I113" s="234"/>
    </row>
    <row r="114" spans="2:9" ht="13.5">
      <c r="B114" s="217" t="s">
        <v>541</v>
      </c>
      <c r="F114" s="226"/>
      <c r="G114" s="226"/>
      <c r="H114" s="226"/>
      <c r="I114" s="234"/>
    </row>
    <row r="115" spans="2:8" ht="13.5">
      <c r="B115" s="217" t="s">
        <v>113</v>
      </c>
      <c r="D115" s="226">
        <f>+D112-D113-D114</f>
        <v>-13276962.450000001</v>
      </c>
      <c r="E115" s="226">
        <f>+E112-E113-E114</f>
        <v>0</v>
      </c>
      <c r="F115" s="226">
        <f>+F112-F113-F114</f>
        <v>390808048.38</v>
      </c>
      <c r="G115" s="226">
        <f>+G112-G113-G114</f>
        <v>0</v>
      </c>
      <c r="H115" s="226">
        <f>+H112-H113-H114</f>
        <v>-10750029.93</v>
      </c>
    </row>
    <row r="116" spans="1:8" ht="21">
      <c r="A116" s="388" t="str">
        <f>A1</f>
        <v>Worksheet G-WES ADIT</v>
      </c>
      <c r="B116" s="217"/>
      <c r="D116" s="226"/>
      <c r="E116" s="226"/>
      <c r="F116" s="226"/>
      <c r="G116" s="226"/>
      <c r="H116" s="226"/>
    </row>
    <row r="117" spans="2:10" ht="15">
      <c r="B117" s="217"/>
      <c r="D117" s="226"/>
      <c r="E117" s="226"/>
      <c r="F117" s="226"/>
      <c r="G117" s="226"/>
      <c r="H117" s="226"/>
      <c r="J117" s="410" t="s">
        <v>88</v>
      </c>
    </row>
    <row r="118" spans="1:10" ht="17.25">
      <c r="A118" s="531" t="str">
        <f>A3</f>
        <v>Kansas Gas and Electric Company</v>
      </c>
      <c r="B118" s="522"/>
      <c r="C118" s="522"/>
      <c r="D118" s="522"/>
      <c r="E118" s="522"/>
      <c r="F118" s="522"/>
      <c r="G118" s="522"/>
      <c r="H118" s="522"/>
      <c r="I118" s="522"/>
      <c r="J118" s="522"/>
    </row>
    <row r="119" spans="1:10" ht="17.25">
      <c r="A119" s="531" t="str">
        <f>A4</f>
        <v>Allocation of ADIT</v>
      </c>
      <c r="B119" s="522"/>
      <c r="C119" s="522"/>
      <c r="D119" s="522"/>
      <c r="E119" s="522"/>
      <c r="F119" s="522"/>
      <c r="G119" s="522"/>
      <c r="H119" s="522"/>
      <c r="I119" s="522"/>
      <c r="J119" s="522"/>
    </row>
    <row r="120" spans="2:8" ht="12.75">
      <c r="B120" s="221"/>
      <c r="F120" s="222"/>
      <c r="G120" s="222"/>
      <c r="H120" s="222"/>
    </row>
    <row r="121" spans="2:10" ht="12.75">
      <c r="B121" s="183" t="s">
        <v>408</v>
      </c>
      <c r="C121" s="185" t="str">
        <f aca="true" t="shared" si="3" ref="C121:J121">C88</f>
        <v>(A)</v>
      </c>
      <c r="D121" s="185" t="str">
        <f t="shared" si="3"/>
        <v>(B)</v>
      </c>
      <c r="E121" s="185" t="str">
        <f t="shared" si="3"/>
        <v>(C)</v>
      </c>
      <c r="F121" s="185" t="str">
        <f t="shared" si="3"/>
        <v>(D)</v>
      </c>
      <c r="G121" s="185" t="str">
        <f t="shared" si="3"/>
        <v>(E)</v>
      </c>
      <c r="H121" s="185" t="str">
        <f>H88</f>
        <v>(F)</v>
      </c>
      <c r="I121" s="185" t="str">
        <f t="shared" si="3"/>
        <v>(G)</v>
      </c>
      <c r="J121" s="185" t="str">
        <f t="shared" si="3"/>
        <v>(G)</v>
      </c>
    </row>
    <row r="122" spans="4:10" ht="12.75">
      <c r="D122" s="184">
        <v>1</v>
      </c>
      <c r="E122" s="184">
        <v>1</v>
      </c>
      <c r="F122" s="185"/>
      <c r="G122" s="185"/>
      <c r="H122" s="185" t="str">
        <f>H89</f>
        <v>100% Retail</v>
      </c>
      <c r="I122" s="185" t="str">
        <f aca="true" t="shared" si="4" ref="I122:J124">I89</f>
        <v>In</v>
      </c>
      <c r="J122" s="185" t="str">
        <f t="shared" si="4"/>
        <v> </v>
      </c>
    </row>
    <row r="123" spans="3:10" ht="12.75">
      <c r="C123" s="193">
        <v>2005</v>
      </c>
      <c r="D123" s="185" t="s">
        <v>402</v>
      </c>
      <c r="E123" s="185" t="s">
        <v>137</v>
      </c>
      <c r="F123" s="185" t="str">
        <f>F90</f>
        <v>Plant </v>
      </c>
      <c r="G123" s="185" t="str">
        <f>G90</f>
        <v>Labor</v>
      </c>
      <c r="H123" s="185" t="str">
        <f>H90</f>
        <v>[Allocate</v>
      </c>
      <c r="I123" s="185" t="str">
        <f t="shared" si="4"/>
        <v>Adjustment</v>
      </c>
      <c r="J123" s="185" t="str">
        <f t="shared" si="4"/>
        <v>Description</v>
      </c>
    </row>
    <row r="124" spans="3:10" ht="12.75">
      <c r="C124" s="185" t="str">
        <f>C91</f>
        <v>YE Balance</v>
      </c>
      <c r="D124" s="185" t="s">
        <v>405</v>
      </c>
      <c r="E124" s="185" t="s">
        <v>405</v>
      </c>
      <c r="F124" s="185" t="str">
        <f>F91</f>
        <v>Related</v>
      </c>
      <c r="G124" s="185" t="str">
        <f>G91</f>
        <v>Related</v>
      </c>
      <c r="H124" s="185" t="str">
        <f>H91</f>
        <v>by Plant]</v>
      </c>
      <c r="I124" s="185" t="str">
        <f t="shared" si="4"/>
        <v>to Ratebase</v>
      </c>
      <c r="J124" s="185" t="str">
        <f t="shared" si="4"/>
        <v>and Justification</v>
      </c>
    </row>
    <row r="125" spans="2:8" ht="13.5">
      <c r="B125" s="235"/>
      <c r="F125" s="195"/>
      <c r="G125" s="195"/>
      <c r="H125" s="195"/>
    </row>
    <row r="126" spans="1:10" s="195" customFormat="1" ht="12.75">
      <c r="A126" s="195">
        <v>2830140</v>
      </c>
      <c r="B126" s="195" t="s">
        <v>626</v>
      </c>
      <c r="C126" s="488">
        <v>6.984919309616089E-10</v>
      </c>
      <c r="D126" s="261"/>
      <c r="E126" s="261"/>
      <c r="F126" s="262" t="s">
        <v>488</v>
      </c>
      <c r="J126" s="195" t="s">
        <v>417</v>
      </c>
    </row>
    <row r="127" spans="1:8" ht="12.75">
      <c r="A127" s="181"/>
      <c r="C127" s="256"/>
      <c r="D127" s="256"/>
      <c r="E127" s="256"/>
      <c r="F127" s="256"/>
      <c r="G127" s="195"/>
      <c r="H127" s="195"/>
    </row>
    <row r="128" spans="1:8" ht="12.75">
      <c r="A128" s="198" t="s">
        <v>105</v>
      </c>
      <c r="B128" s="198" t="s">
        <v>568</v>
      </c>
      <c r="C128" s="256" t="s">
        <v>105</v>
      </c>
      <c r="D128" s="256"/>
      <c r="E128" s="256"/>
      <c r="F128" s="256" t="s">
        <v>105</v>
      </c>
      <c r="G128" s="226"/>
      <c r="H128" s="226"/>
    </row>
    <row r="129" spans="1:10" s="195" customFormat="1" ht="12.75">
      <c r="A129" s="195">
        <v>2830240</v>
      </c>
      <c r="B129" s="195" t="s">
        <v>569</v>
      </c>
      <c r="C129" s="484">
        <v>4735700.36</v>
      </c>
      <c r="D129" s="246">
        <f>+C129</f>
        <v>4735700.36</v>
      </c>
      <c r="E129" s="246"/>
      <c r="F129" s="247">
        <f>+C129-D129-E129-G129</f>
        <v>0</v>
      </c>
      <c r="G129" s="226"/>
      <c r="H129" s="226"/>
      <c r="I129" s="222" t="s">
        <v>420</v>
      </c>
      <c r="J129" s="195" t="s">
        <v>417</v>
      </c>
    </row>
    <row r="130" spans="1:10" ht="12.75">
      <c r="A130" s="200">
        <v>2831014</v>
      </c>
      <c r="B130" s="200" t="s">
        <v>627</v>
      </c>
      <c r="C130" s="484">
        <v>4907</v>
      </c>
      <c r="D130" s="253">
        <f>+C130</f>
        <v>4907</v>
      </c>
      <c r="E130" s="253"/>
      <c r="F130" s="247">
        <f>+C130-D130-E130-G130</f>
        <v>0</v>
      </c>
      <c r="G130" s="260"/>
      <c r="H130" s="260"/>
      <c r="I130" s="228" t="s">
        <v>420</v>
      </c>
      <c r="J130" s="208" t="s">
        <v>628</v>
      </c>
    </row>
    <row r="131" spans="1:10" ht="12.75">
      <c r="A131" s="181">
        <v>2831017</v>
      </c>
      <c r="B131" s="181" t="s">
        <v>629</v>
      </c>
      <c r="C131" s="484">
        <v>-17948533.82</v>
      </c>
      <c r="D131" s="248">
        <f>+C131</f>
        <v>-17948533.82</v>
      </c>
      <c r="E131" s="248"/>
      <c r="F131" s="247">
        <f>+C131-D131-E131-G131</f>
        <v>0</v>
      </c>
      <c r="G131" s="195"/>
      <c r="H131" s="195"/>
      <c r="I131" s="222" t="s">
        <v>420</v>
      </c>
      <c r="J131" s="181" t="s">
        <v>630</v>
      </c>
    </row>
    <row r="132" spans="1:10" ht="12.75">
      <c r="A132" s="181">
        <v>2831018</v>
      </c>
      <c r="B132" s="181" t="s">
        <v>428</v>
      </c>
      <c r="C132" s="484">
        <v>175090</v>
      </c>
      <c r="D132" s="248"/>
      <c r="E132" s="248"/>
      <c r="F132" s="249"/>
      <c r="G132" s="195"/>
      <c r="H132" s="247">
        <f>C132</f>
        <v>175090</v>
      </c>
      <c r="I132" s="222" t="s">
        <v>420</v>
      </c>
      <c r="J132" s="181" t="s">
        <v>429</v>
      </c>
    </row>
    <row r="133" spans="1:10" ht="12.75">
      <c r="A133" s="200">
        <v>2831023</v>
      </c>
      <c r="B133" s="200" t="s">
        <v>635</v>
      </c>
      <c r="C133" s="484">
        <v>3943898.07</v>
      </c>
      <c r="D133" s="253">
        <f>+C133</f>
        <v>3943898.07</v>
      </c>
      <c r="E133" s="253"/>
      <c r="F133" s="247">
        <f>+C133-D133-E133-G133</f>
        <v>0</v>
      </c>
      <c r="G133" s="205"/>
      <c r="H133" s="205"/>
      <c r="I133" s="228" t="s">
        <v>420</v>
      </c>
      <c r="J133" s="208" t="s">
        <v>636</v>
      </c>
    </row>
    <row r="134" spans="1:10" ht="12.75">
      <c r="A134" s="181">
        <v>2831027</v>
      </c>
      <c r="B134" s="181" t="s">
        <v>440</v>
      </c>
      <c r="C134" s="484">
        <v>1667515.5</v>
      </c>
      <c r="D134" s="248"/>
      <c r="E134" s="248"/>
      <c r="F134" s="249">
        <f aca="true" t="shared" si="5" ref="F134:F140">+C134-G134</f>
        <v>1667515.5</v>
      </c>
      <c r="G134" s="195"/>
      <c r="H134" s="195"/>
      <c r="I134" s="222" t="s">
        <v>420</v>
      </c>
      <c r="J134" s="181" t="s">
        <v>441</v>
      </c>
    </row>
    <row r="135" spans="1:10" ht="26.25">
      <c r="A135" s="200">
        <v>2831028</v>
      </c>
      <c r="B135" s="200" t="s">
        <v>574</v>
      </c>
      <c r="C135" s="484">
        <v>2650359.55</v>
      </c>
      <c r="D135" s="253"/>
      <c r="E135" s="253"/>
      <c r="F135" s="251">
        <f t="shared" si="5"/>
        <v>2650359.55</v>
      </c>
      <c r="G135" s="195"/>
      <c r="H135" s="195"/>
      <c r="I135" s="228" t="s">
        <v>420</v>
      </c>
      <c r="J135" s="203" t="s">
        <v>575</v>
      </c>
    </row>
    <row r="136" spans="1:10" ht="12.75">
      <c r="A136" s="200">
        <v>2831030</v>
      </c>
      <c r="B136" s="200" t="s">
        <v>576</v>
      </c>
      <c r="C136" s="484">
        <v>-504013.81</v>
      </c>
      <c r="D136" s="253"/>
      <c r="E136" s="253"/>
      <c r="F136" s="251">
        <f t="shared" si="5"/>
        <v>-504013.81</v>
      </c>
      <c r="G136" s="195"/>
      <c r="H136" s="195"/>
      <c r="I136" s="228" t="s">
        <v>420</v>
      </c>
      <c r="J136" s="203" t="s">
        <v>577</v>
      </c>
    </row>
    <row r="137" spans="1:10" ht="12.75">
      <c r="A137" s="181">
        <v>2831031</v>
      </c>
      <c r="B137" s="181" t="s">
        <v>578</v>
      </c>
      <c r="C137" s="484">
        <v>-1100130.16</v>
      </c>
      <c r="D137" s="248"/>
      <c r="E137" s="248"/>
      <c r="F137" s="249">
        <f t="shared" si="5"/>
        <v>-1100130.16</v>
      </c>
      <c r="G137" s="195"/>
      <c r="H137" s="195"/>
      <c r="I137" s="222" t="s">
        <v>420</v>
      </c>
      <c r="J137" s="181" t="s">
        <v>637</v>
      </c>
    </row>
    <row r="138" spans="1:10" ht="12.75">
      <c r="A138" s="181">
        <v>2831033</v>
      </c>
      <c r="B138" s="181" t="s">
        <v>580</v>
      </c>
      <c r="C138" s="484">
        <v>324599.21</v>
      </c>
      <c r="D138" s="248"/>
      <c r="E138" s="248"/>
      <c r="F138" s="249">
        <f t="shared" si="5"/>
        <v>324599.21</v>
      </c>
      <c r="G138" s="195"/>
      <c r="H138" s="195"/>
      <c r="I138" s="222" t="s">
        <v>420</v>
      </c>
      <c r="J138" s="181" t="s">
        <v>581</v>
      </c>
    </row>
    <row r="139" spans="1:10" ht="12.75">
      <c r="A139" s="181">
        <v>2831039</v>
      </c>
      <c r="B139" s="181" t="s">
        <v>582</v>
      </c>
      <c r="C139" s="484">
        <v>631814</v>
      </c>
      <c r="D139" s="248"/>
      <c r="E139" s="248"/>
      <c r="F139" s="249">
        <f t="shared" si="5"/>
        <v>631814</v>
      </c>
      <c r="G139" s="195"/>
      <c r="H139" s="195"/>
      <c r="I139" s="222" t="s">
        <v>420</v>
      </c>
      <c r="J139" s="181" t="s">
        <v>638</v>
      </c>
    </row>
    <row r="140" spans="1:10" ht="12.75">
      <c r="A140" s="181">
        <v>2831041</v>
      </c>
      <c r="B140" s="181" t="s">
        <v>584</v>
      </c>
      <c r="C140" s="484">
        <v>25666154.46</v>
      </c>
      <c r="D140" s="248"/>
      <c r="E140" s="248"/>
      <c r="F140" s="249">
        <f t="shared" si="5"/>
        <v>25666154.46</v>
      </c>
      <c r="G140" s="195"/>
      <c r="H140" s="195"/>
      <c r="I140" s="222" t="s">
        <v>420</v>
      </c>
      <c r="J140" s="181" t="s">
        <v>585</v>
      </c>
    </row>
    <row r="141" spans="1:10" ht="12.75">
      <c r="A141" s="181">
        <v>2831080</v>
      </c>
      <c r="B141" s="181" t="s">
        <v>639</v>
      </c>
      <c r="C141" s="484">
        <v>1351713</v>
      </c>
      <c r="D141" s="248">
        <f>+C141</f>
        <v>1351713</v>
      </c>
      <c r="E141" s="248"/>
      <c r="F141" s="247">
        <f>+C141-D141-E141-G141</f>
        <v>0</v>
      </c>
      <c r="G141" s="195"/>
      <c r="H141" s="195"/>
      <c r="I141" s="222" t="s">
        <v>420</v>
      </c>
      <c r="J141" s="181" t="s">
        <v>640</v>
      </c>
    </row>
    <row r="142" spans="1:10" ht="12.75">
      <c r="A142" s="200">
        <v>2831081</v>
      </c>
      <c r="B142" s="200" t="s">
        <v>641</v>
      </c>
      <c r="C142" s="484">
        <v>67263</v>
      </c>
      <c r="D142" s="253">
        <f>+C142</f>
        <v>67263</v>
      </c>
      <c r="E142" s="253"/>
      <c r="F142" s="247">
        <f>+C142-D142-E142-G142</f>
        <v>0</v>
      </c>
      <c r="G142" s="195"/>
      <c r="H142" s="195"/>
      <c r="I142" s="228" t="s">
        <v>420</v>
      </c>
      <c r="J142" s="203" t="s">
        <v>642</v>
      </c>
    </row>
    <row r="143" spans="1:10" ht="12.75">
      <c r="A143" s="181">
        <v>2831082</v>
      </c>
      <c r="B143" s="181" t="s">
        <v>643</v>
      </c>
      <c r="C143" s="484">
        <v>103695</v>
      </c>
      <c r="D143" s="248"/>
      <c r="E143" s="248"/>
      <c r="F143" s="249">
        <f>+C143-G143</f>
        <v>103695</v>
      </c>
      <c r="G143" s="195"/>
      <c r="H143" s="195"/>
      <c r="I143" s="222" t="s">
        <v>420</v>
      </c>
      <c r="J143" s="181" t="s">
        <v>644</v>
      </c>
    </row>
    <row r="144" spans="1:10" ht="12.75">
      <c r="A144" s="181">
        <v>2831084</v>
      </c>
      <c r="B144" s="181" t="s">
        <v>645</v>
      </c>
      <c r="C144" s="484">
        <v>3560712</v>
      </c>
      <c r="D144" s="248"/>
      <c r="E144" s="248"/>
      <c r="F144" s="249">
        <f>+C144-G144</f>
        <v>3560712</v>
      </c>
      <c r="G144" s="195"/>
      <c r="H144" s="195"/>
      <c r="I144" s="222" t="s">
        <v>420</v>
      </c>
      <c r="J144" s="181" t="s">
        <v>646</v>
      </c>
    </row>
    <row r="145" spans="1:10" ht="12.75">
      <c r="A145" s="490">
        <v>2831095</v>
      </c>
      <c r="B145" s="497" t="s">
        <v>782</v>
      </c>
      <c r="C145" s="491">
        <v>548281.22</v>
      </c>
      <c r="D145" s="248"/>
      <c r="E145" s="498"/>
      <c r="F145" s="507">
        <f>+C145-G145</f>
        <v>548281.22</v>
      </c>
      <c r="G145" s="195"/>
      <c r="H145" s="195"/>
      <c r="I145" s="222" t="s">
        <v>420</v>
      </c>
      <c r="J145" s="209" t="s">
        <v>484</v>
      </c>
    </row>
    <row r="146" spans="1:10" ht="12.75">
      <c r="A146" s="490">
        <v>2831096</v>
      </c>
      <c r="B146" s="497" t="s">
        <v>781</v>
      </c>
      <c r="C146" s="491">
        <v>24560.62</v>
      </c>
      <c r="D146" s="248"/>
      <c r="E146" s="498"/>
      <c r="F146" s="507">
        <f>+C146-G146</f>
        <v>24560.62</v>
      </c>
      <c r="G146" s="195"/>
      <c r="H146" s="195"/>
      <c r="I146" s="222" t="s">
        <v>420</v>
      </c>
      <c r="J146" s="209" t="s">
        <v>485</v>
      </c>
    </row>
    <row r="147" spans="1:8" ht="12.75">
      <c r="A147" s="198" t="s">
        <v>105</v>
      </c>
      <c r="C147" s="248" t="s">
        <v>105</v>
      </c>
      <c r="D147" s="248"/>
      <c r="E147" s="248"/>
      <c r="F147" s="248" t="s">
        <v>105</v>
      </c>
      <c r="G147" s="195"/>
      <c r="H147" s="195"/>
    </row>
    <row r="148" spans="1:8" ht="12.75">
      <c r="A148" s="198"/>
      <c r="B148" s="212" t="s">
        <v>586</v>
      </c>
      <c r="C148" s="248"/>
      <c r="D148" s="248"/>
      <c r="E148" s="248"/>
      <c r="F148" s="248"/>
      <c r="G148" s="195"/>
      <c r="H148" s="195"/>
    </row>
    <row r="149" spans="1:10" ht="12.75">
      <c r="A149" s="209">
        <v>2832067</v>
      </c>
      <c r="B149" s="209" t="s">
        <v>647</v>
      </c>
      <c r="C149" s="484">
        <v>234586367.57999998</v>
      </c>
      <c r="D149" s="248">
        <f>+C149</f>
        <v>234586367.57999998</v>
      </c>
      <c r="E149" s="248"/>
      <c r="F149" s="247"/>
      <c r="G149" s="195"/>
      <c r="H149" s="195"/>
      <c r="I149" s="204" t="s">
        <v>489</v>
      </c>
      <c r="J149" s="209" t="s">
        <v>490</v>
      </c>
    </row>
    <row r="150" spans="1:10" ht="12.75">
      <c r="A150" s="209">
        <v>2832060</v>
      </c>
      <c r="B150" s="209" t="s">
        <v>588</v>
      </c>
      <c r="C150" s="484">
        <v>1466878</v>
      </c>
      <c r="D150" s="248">
        <f>+C150</f>
        <v>1466878</v>
      </c>
      <c r="E150" s="248"/>
      <c r="F150" s="247"/>
      <c r="G150" s="195"/>
      <c r="H150" s="195"/>
      <c r="I150" s="204" t="s">
        <v>420</v>
      </c>
      <c r="J150" s="209" t="s">
        <v>521</v>
      </c>
    </row>
    <row r="151" spans="1:8" ht="12.75">
      <c r="A151" s="198" t="s">
        <v>105</v>
      </c>
      <c r="C151" s="248" t="s">
        <v>105</v>
      </c>
      <c r="D151" s="248"/>
      <c r="E151" s="248"/>
      <c r="F151" s="248" t="s">
        <v>105</v>
      </c>
      <c r="G151" s="195"/>
      <c r="H151" s="195"/>
    </row>
    <row r="152" spans="1:8" ht="26.25">
      <c r="A152" s="200">
        <v>2837091</v>
      </c>
      <c r="B152" s="208" t="s">
        <v>593</v>
      </c>
      <c r="C152" s="263" t="s">
        <v>520</v>
      </c>
      <c r="D152" s="263"/>
      <c r="E152" s="263"/>
      <c r="F152" s="248" t="s">
        <v>105</v>
      </c>
      <c r="G152" s="195"/>
      <c r="H152" s="195"/>
    </row>
    <row r="153" spans="1:8" ht="12.75">
      <c r="A153" s="181">
        <v>28370</v>
      </c>
      <c r="B153" s="181" t="s">
        <v>648</v>
      </c>
      <c r="C153" s="484">
        <v>-1835329.87</v>
      </c>
      <c r="D153" s="248"/>
      <c r="E153" s="248"/>
      <c r="F153" s="248">
        <v>0</v>
      </c>
      <c r="G153" s="195"/>
      <c r="H153" s="195"/>
    </row>
    <row r="154" spans="1:8" ht="12.75">
      <c r="A154" s="211" t="s">
        <v>105</v>
      </c>
      <c r="B154" s="211" t="s">
        <v>105</v>
      </c>
      <c r="C154" s="248" t="s">
        <v>105</v>
      </c>
      <c r="D154" s="248"/>
      <c r="E154" s="248"/>
      <c r="F154" s="248" t="s">
        <v>105</v>
      </c>
      <c r="G154" s="195"/>
      <c r="H154" s="195"/>
    </row>
    <row r="155" spans="1:8" ht="12.75">
      <c r="A155" s="181"/>
      <c r="C155" s="248"/>
      <c r="D155" s="248"/>
      <c r="E155" s="248"/>
      <c r="F155" s="248"/>
      <c r="G155" s="195"/>
      <c r="H155" s="195"/>
    </row>
    <row r="156" spans="1:8" ht="12.75">
      <c r="A156" s="181" t="s">
        <v>105</v>
      </c>
      <c r="B156" s="181" t="s">
        <v>649</v>
      </c>
      <c r="C156" s="263" t="s">
        <v>520</v>
      </c>
      <c r="D156" s="248"/>
      <c r="E156" s="248"/>
      <c r="F156" s="248" t="str">
        <f>F128</f>
        <v> </v>
      </c>
      <c r="G156" s="195"/>
      <c r="H156" s="195"/>
    </row>
    <row r="157" spans="1:10" ht="12.75">
      <c r="A157" s="182" t="s">
        <v>105</v>
      </c>
      <c r="B157" s="264" t="s">
        <v>601</v>
      </c>
      <c r="C157" s="248">
        <f>-C129</f>
        <v>-4735700.36</v>
      </c>
      <c r="D157" s="248">
        <f>-D129</f>
        <v>-4735700.36</v>
      </c>
      <c r="E157" s="248"/>
      <c r="F157" s="248">
        <v>0</v>
      </c>
      <c r="G157" s="195"/>
      <c r="H157" s="195"/>
      <c r="J157" s="181" t="s">
        <v>417</v>
      </c>
    </row>
    <row r="158" spans="1:8" ht="12.75">
      <c r="A158" s="181"/>
      <c r="F158" s="256"/>
      <c r="G158" s="195"/>
      <c r="H158" s="195"/>
    </row>
    <row r="159" spans="2:9" ht="13.5">
      <c r="B159" s="215" t="s">
        <v>602</v>
      </c>
      <c r="D159" s="249">
        <f>SUM(D126:D157)</f>
        <v>223472492.82999998</v>
      </c>
      <c r="E159" s="255">
        <f>SUM(E126:E157)</f>
        <v>0</v>
      </c>
      <c r="F159" s="241">
        <f>SUM(F126:F157)</f>
        <v>33573547.589999996</v>
      </c>
      <c r="G159" s="241">
        <f>SUM(G126:G157)</f>
        <v>0</v>
      </c>
      <c r="H159" s="241">
        <f>SUM(H126:H157)</f>
        <v>175090</v>
      </c>
      <c r="I159" s="242">
        <f>SUM(C159:H159)</f>
        <v>257221130.42</v>
      </c>
    </row>
    <row r="160" spans="2:9" ht="13.5">
      <c r="B160" s="217" t="s">
        <v>540</v>
      </c>
      <c r="C160" s="255" t="s">
        <v>105</v>
      </c>
      <c r="D160" s="255"/>
      <c r="E160" s="255"/>
      <c r="F160" s="241"/>
      <c r="G160" s="241"/>
      <c r="H160" s="241"/>
      <c r="I160" s="234"/>
    </row>
    <row r="161" spans="2:9" ht="13.5">
      <c r="B161" s="217" t="s">
        <v>541</v>
      </c>
      <c r="F161" s="241"/>
      <c r="G161" s="241"/>
      <c r="H161" s="241"/>
      <c r="I161" s="234"/>
    </row>
    <row r="162" spans="2:8" ht="13.5">
      <c r="B162" s="217" t="s">
        <v>113</v>
      </c>
      <c r="D162" s="241">
        <f>+D159-D160-D161</f>
        <v>223472492.82999998</v>
      </c>
      <c r="E162" s="241">
        <f>+E159-E160-E161</f>
        <v>0</v>
      </c>
      <c r="F162" s="241">
        <f>+F159-F160-F161</f>
        <v>33573547.589999996</v>
      </c>
      <c r="G162" s="241">
        <f>+G159-G160-G161</f>
        <v>0</v>
      </c>
      <c r="H162" s="241">
        <f>+H159-H160-H161</f>
        <v>175090</v>
      </c>
    </row>
    <row r="163" ht="13.5">
      <c r="B163" s="224"/>
    </row>
  </sheetData>
  <mergeCells count="9">
    <mergeCell ref="A119:J119"/>
    <mergeCell ref="A3:I3"/>
    <mergeCell ref="A4:I4"/>
    <mergeCell ref="A86:J86"/>
    <mergeCell ref="A118:J118"/>
    <mergeCell ref="A18:J18"/>
    <mergeCell ref="A20:J20"/>
    <mergeCell ref="A21:J21"/>
    <mergeCell ref="A85:J85"/>
  </mergeCells>
  <printOptions horizontalCentered="1"/>
  <pageMargins left="0.32" right="0.3" top="0.5" bottom="0" header="0.5" footer="0.5"/>
  <pageSetup horizontalDpi="600" verticalDpi="600" orientation="landscape" scale="50" r:id="rId1"/>
  <headerFooter alignWithMargins="0">
    <oddFooter>&amp;R&amp;F, &amp;A</oddFooter>
  </headerFooter>
  <rowBreaks count="3" manualBreakCount="3">
    <brk id="17" max="255" man="1"/>
    <brk id="82" max="255" man="1"/>
    <brk id="115" max="255" man="1"/>
  </rowBreaks>
</worksheet>
</file>

<file path=xl/worksheets/sheet2.xml><?xml version="1.0" encoding="utf-8"?>
<worksheet xmlns="http://schemas.openxmlformats.org/spreadsheetml/2006/main" xmlns:r="http://schemas.openxmlformats.org/officeDocument/2006/relationships">
  <dimension ref="A1:BK338"/>
  <sheetViews>
    <sheetView view="pageBreakPreview" zoomScale="70" zoomScaleNormal="60" zoomScaleSheetLayoutView="70" workbookViewId="0" topLeftCell="A3">
      <selection activeCell="E63" sqref="E63"/>
    </sheetView>
  </sheetViews>
  <sheetFormatPr defaultColWidth="8.88671875" defaultRowHeight="15"/>
  <cols>
    <col min="1" max="1" width="6.77734375" style="0" customWidth="1"/>
    <col min="2" max="2" width="3.77734375" style="0" customWidth="1"/>
    <col min="3" max="3" width="31.77734375" style="0" customWidth="1"/>
    <col min="4" max="4" width="40.77734375" style="0" customWidth="1"/>
    <col min="5" max="5" width="13.77734375" style="0" customWidth="1"/>
    <col min="6" max="6" width="14.77734375" style="0" customWidth="1"/>
    <col min="7" max="7" width="5.77734375" style="0" customWidth="1"/>
    <col min="8" max="8" width="12.77734375" style="0" customWidth="1"/>
    <col min="9" max="9" width="3.77734375" style="0" customWidth="1"/>
    <col min="10" max="10" width="13.77734375" style="0" customWidth="1"/>
    <col min="11" max="11" width="3.6640625" style="0" customWidth="1"/>
    <col min="12" max="12" width="6.77734375" style="0" customWidth="1"/>
    <col min="13" max="13" width="2.3359375" style="0" customWidth="1"/>
    <col min="14" max="14" width="32.21484375" style="0" customWidth="1"/>
    <col min="16" max="16" width="15.3359375" style="0" bestFit="1" customWidth="1"/>
  </cols>
  <sheetData>
    <row r="1" spans="3:63" ht="15">
      <c r="C1" s="18"/>
      <c r="D1" s="511" t="s">
        <v>104</v>
      </c>
      <c r="E1" s="510"/>
      <c r="F1" s="510"/>
      <c r="G1" s="18"/>
      <c r="J1" s="172" t="s">
        <v>105</v>
      </c>
      <c r="K1" s="18"/>
      <c r="L1" s="18"/>
      <c r="M1" s="9"/>
      <c r="N1" s="9"/>
      <c r="O1" s="9"/>
      <c r="P1" s="9"/>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row>
    <row r="2" spans="3:63" ht="15">
      <c r="C2" s="18"/>
      <c r="D2" s="512" t="s">
        <v>470</v>
      </c>
      <c r="E2" s="510"/>
      <c r="F2" s="510"/>
      <c r="G2" s="21"/>
      <c r="H2" s="21"/>
      <c r="J2" s="172" t="s">
        <v>373</v>
      </c>
      <c r="K2" s="21"/>
      <c r="L2" s="21"/>
      <c r="M2" s="10"/>
      <c r="N2" s="7"/>
      <c r="O2" s="10"/>
      <c r="P2" s="9"/>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row>
    <row r="3" spans="3:63" ht="15">
      <c r="C3" s="18"/>
      <c r="D3" s="511" t="s">
        <v>780</v>
      </c>
      <c r="E3" s="510"/>
      <c r="F3" s="510"/>
      <c r="G3" s="21"/>
      <c r="H3" s="21" t="s">
        <v>105</v>
      </c>
      <c r="I3" s="18"/>
      <c r="J3" s="391" t="s">
        <v>85</v>
      </c>
      <c r="K3" s="21"/>
      <c r="L3" s="21"/>
      <c r="M3" s="10"/>
      <c r="N3" s="10"/>
      <c r="O3" s="10"/>
      <c r="P3" s="9"/>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row>
    <row r="4" spans="3:63" ht="15">
      <c r="C4" s="18"/>
      <c r="D4" s="21"/>
      <c r="E4" s="22"/>
      <c r="F4" s="21"/>
      <c r="G4" s="21"/>
      <c r="H4" s="21"/>
      <c r="I4" s="18"/>
      <c r="K4" s="21"/>
      <c r="L4" s="21"/>
      <c r="M4" s="10"/>
      <c r="N4" s="10"/>
      <c r="O4" s="10"/>
      <c r="P4" s="9"/>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row>
    <row r="5" spans="3:63" ht="15">
      <c r="C5" s="18"/>
      <c r="D5" s="509" t="s">
        <v>278</v>
      </c>
      <c r="E5" s="510"/>
      <c r="F5" s="510"/>
      <c r="G5" s="21"/>
      <c r="H5" s="21"/>
      <c r="I5" s="21"/>
      <c r="K5" s="21"/>
      <c r="L5" s="21"/>
      <c r="M5" s="10"/>
      <c r="N5" s="10"/>
      <c r="O5" s="10"/>
      <c r="P5" s="9"/>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row>
    <row r="6" spans="3:63" ht="15">
      <c r="C6" s="18"/>
      <c r="D6" s="509" t="s">
        <v>277</v>
      </c>
      <c r="E6" s="510"/>
      <c r="F6" s="510"/>
      <c r="G6" s="21"/>
      <c r="H6" s="21"/>
      <c r="I6" s="21"/>
      <c r="J6" s="21"/>
      <c r="K6" s="21"/>
      <c r="L6" s="21"/>
      <c r="M6" s="10"/>
      <c r="N6" s="10"/>
      <c r="O6" s="10"/>
      <c r="P6" s="9"/>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row>
    <row r="7" spans="3:63" ht="15">
      <c r="C7" s="20" t="s">
        <v>131</v>
      </c>
      <c r="D7" s="20" t="s">
        <v>132</v>
      </c>
      <c r="E7" s="20" t="s">
        <v>133</v>
      </c>
      <c r="F7" s="21" t="s">
        <v>105</v>
      </c>
      <c r="G7" s="21"/>
      <c r="H7" s="23" t="s">
        <v>134</v>
      </c>
      <c r="I7" s="21"/>
      <c r="J7" s="24" t="s">
        <v>135</v>
      </c>
      <c r="K7" s="21"/>
      <c r="L7" s="20"/>
      <c r="M7" s="10"/>
      <c r="N7" s="11"/>
      <c r="O7" s="10"/>
      <c r="P7" s="9"/>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row>
    <row r="8" spans="3:63" ht="15">
      <c r="C8" s="18"/>
      <c r="D8" s="46" t="s">
        <v>136</v>
      </c>
      <c r="E8" s="21"/>
      <c r="F8" s="21"/>
      <c r="G8" s="21"/>
      <c r="H8" s="50"/>
      <c r="I8" s="21"/>
      <c r="J8" s="51" t="s">
        <v>137</v>
      </c>
      <c r="K8" s="21"/>
      <c r="L8" s="20"/>
      <c r="M8" s="10"/>
      <c r="N8" s="11"/>
      <c r="O8" s="11"/>
      <c r="P8" s="9"/>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row>
    <row r="9" spans="1:63" ht="15">
      <c r="A9" s="67" t="s">
        <v>106</v>
      </c>
      <c r="C9" s="18"/>
      <c r="D9" s="71" t="s">
        <v>138</v>
      </c>
      <c r="E9" s="51" t="s">
        <v>139</v>
      </c>
      <c r="F9" s="72"/>
      <c r="G9" s="51" t="s">
        <v>140</v>
      </c>
      <c r="H9" s="28"/>
      <c r="I9" s="72"/>
      <c r="J9" s="73" t="s">
        <v>141</v>
      </c>
      <c r="K9" s="21"/>
      <c r="L9" s="20"/>
      <c r="M9" s="7"/>
      <c r="N9" s="11"/>
      <c r="O9" s="11"/>
      <c r="P9" s="9"/>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row>
    <row r="10" spans="1:63" ht="15.75" thickBot="1">
      <c r="A10" s="68" t="s">
        <v>110</v>
      </c>
      <c r="C10" s="29" t="s">
        <v>142</v>
      </c>
      <c r="D10" s="21"/>
      <c r="E10" s="21"/>
      <c r="F10" s="21"/>
      <c r="G10" s="21"/>
      <c r="H10" s="21"/>
      <c r="I10" s="21"/>
      <c r="J10" s="21"/>
      <c r="K10" s="21"/>
      <c r="L10" s="21"/>
      <c r="M10" s="7"/>
      <c r="N10" s="10"/>
      <c r="O10" s="10"/>
      <c r="P10" s="9"/>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row>
    <row r="11" spans="1:63" ht="15">
      <c r="A11" s="67"/>
      <c r="C11" s="18"/>
      <c r="D11" s="21"/>
      <c r="E11" s="21"/>
      <c r="F11" s="21"/>
      <c r="G11" s="21"/>
      <c r="H11" s="21"/>
      <c r="I11" s="21"/>
      <c r="J11" s="21"/>
      <c r="K11" s="21"/>
      <c r="L11" s="21"/>
      <c r="M11" s="7"/>
      <c r="N11" s="10"/>
      <c r="O11" s="10"/>
      <c r="P11" s="9"/>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row>
    <row r="12" spans="1:63" ht="15">
      <c r="A12" s="67"/>
      <c r="C12" s="18" t="s">
        <v>143</v>
      </c>
      <c r="D12" s="167"/>
      <c r="E12" s="21"/>
      <c r="F12" s="21"/>
      <c r="G12" s="21"/>
      <c r="H12" s="21"/>
      <c r="I12" s="21"/>
      <c r="J12" s="21"/>
      <c r="K12" s="21"/>
      <c r="L12" s="21"/>
      <c r="M12" s="7"/>
      <c r="N12" s="10"/>
      <c r="O12" s="10"/>
      <c r="P12" s="9"/>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row>
    <row r="13" spans="1:63" ht="15">
      <c r="A13" s="67">
        <v>1</v>
      </c>
      <c r="C13" s="18" t="s">
        <v>144</v>
      </c>
      <c r="D13" s="21" t="s">
        <v>360</v>
      </c>
      <c r="E13" s="160">
        <v>1374501985</v>
      </c>
      <c r="F13" s="21"/>
      <c r="G13" s="21" t="s">
        <v>145</v>
      </c>
      <c r="H13" s="30" t="s">
        <v>105</v>
      </c>
      <c r="I13" s="21"/>
      <c r="J13" s="21" t="s">
        <v>105</v>
      </c>
      <c r="K13" s="21"/>
      <c r="L13" s="21"/>
      <c r="M13" s="7"/>
      <c r="O13" s="10"/>
      <c r="P13" s="9"/>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row>
    <row r="14" spans="1:63" ht="15">
      <c r="A14" s="67">
        <v>2</v>
      </c>
      <c r="C14" s="18" t="s">
        <v>146</v>
      </c>
      <c r="D14" s="21" t="s">
        <v>361</v>
      </c>
      <c r="E14" s="162">
        <v>344580341</v>
      </c>
      <c r="F14" s="21"/>
      <c r="G14" s="21" t="s">
        <v>115</v>
      </c>
      <c r="H14" s="30">
        <f>J123</f>
        <v>0.9998433921104048</v>
      </c>
      <c r="I14" s="21"/>
      <c r="J14" s="21">
        <f>+H14*E14</f>
        <v>344526377</v>
      </c>
      <c r="K14" s="21"/>
      <c r="L14" s="21"/>
      <c r="M14" s="7"/>
      <c r="O14" s="10"/>
      <c r="P14" s="9"/>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row>
    <row r="15" spans="1:63" ht="15">
      <c r="A15" s="67">
        <v>3</v>
      </c>
      <c r="C15" s="18" t="s">
        <v>147</v>
      </c>
      <c r="D15" s="21" t="s">
        <v>362</v>
      </c>
      <c r="E15" s="91">
        <v>752821499</v>
      </c>
      <c r="F15" s="21"/>
      <c r="G15" s="21" t="s">
        <v>145</v>
      </c>
      <c r="H15" s="30" t="s">
        <v>105</v>
      </c>
      <c r="I15" s="21"/>
      <c r="J15" s="21" t="s">
        <v>105</v>
      </c>
      <c r="K15" s="21"/>
      <c r="L15" s="21"/>
      <c r="M15" s="7"/>
      <c r="O15" s="10"/>
      <c r="P15" s="9"/>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row>
    <row r="16" spans="1:63" ht="15" customHeight="1">
      <c r="A16" s="67">
        <v>4</v>
      </c>
      <c r="C16" s="159" t="s">
        <v>148</v>
      </c>
      <c r="D16" s="176" t="s">
        <v>374</v>
      </c>
      <c r="E16" s="178">
        <f>180723819+5435248</f>
        <v>186159067</v>
      </c>
      <c r="F16" s="21"/>
      <c r="G16" s="21" t="s">
        <v>149</v>
      </c>
      <c r="H16" s="30">
        <f>J143</f>
        <v>0.05136150696490391</v>
      </c>
      <c r="I16" s="21"/>
      <c r="J16" s="21">
        <f>+H16*E16</f>
        <v>9561410.216300514</v>
      </c>
      <c r="K16" s="21"/>
      <c r="L16" s="21"/>
      <c r="M16" s="10"/>
      <c r="O16" s="11"/>
      <c r="P16" s="9"/>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row>
    <row r="17" spans="1:63" ht="15" thickBot="1">
      <c r="A17" s="67">
        <v>5</v>
      </c>
      <c r="C17" s="18" t="s">
        <v>150</v>
      </c>
      <c r="D17" s="21" t="s">
        <v>151</v>
      </c>
      <c r="E17" s="92">
        <v>0</v>
      </c>
      <c r="F17" s="21"/>
      <c r="G17" s="21" t="s">
        <v>206</v>
      </c>
      <c r="H17" s="30">
        <f>L149</f>
        <v>0.05136150696490391</v>
      </c>
      <c r="I17" s="21"/>
      <c r="J17" s="61">
        <f>+H17*E17</f>
        <v>0</v>
      </c>
      <c r="K17" s="21"/>
      <c r="L17" s="21"/>
      <c r="M17" s="10"/>
      <c r="O17" s="11"/>
      <c r="P17" s="9"/>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row>
    <row r="18" spans="1:63" ht="15">
      <c r="A18" s="67">
        <v>6</v>
      </c>
      <c r="C18" s="48" t="s">
        <v>152</v>
      </c>
      <c r="D18" s="21"/>
      <c r="E18" s="21">
        <f>SUM(E13:E17)</f>
        <v>2658062892</v>
      </c>
      <c r="F18" s="21"/>
      <c r="G18" s="21" t="s">
        <v>73</v>
      </c>
      <c r="H18" s="47">
        <f>IF(J18&gt;0,J18/E18,0)</f>
        <v>0.13321271979004043</v>
      </c>
      <c r="I18" s="21"/>
      <c r="J18" s="21">
        <f>SUM(J13:J17)</f>
        <v>354087787.2163005</v>
      </c>
      <c r="K18" s="21"/>
      <c r="L18" s="34"/>
      <c r="M18" s="7"/>
      <c r="N18" s="10"/>
      <c r="O18" s="10"/>
      <c r="P18" s="9"/>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row>
    <row r="19" spans="3:63" ht="15">
      <c r="C19" s="18"/>
      <c r="D19" s="21"/>
      <c r="E19" s="21"/>
      <c r="F19" s="21"/>
      <c r="G19" s="21"/>
      <c r="H19" s="34"/>
      <c r="I19" s="21"/>
      <c r="J19" s="21"/>
      <c r="K19" s="21"/>
      <c r="L19" s="34"/>
      <c r="M19" s="7"/>
      <c r="N19" s="10"/>
      <c r="O19" s="10"/>
      <c r="P19" s="9"/>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row>
    <row r="20" spans="3:63" ht="15">
      <c r="C20" s="18" t="s">
        <v>154</v>
      </c>
      <c r="D20" s="21" t="s">
        <v>499</v>
      </c>
      <c r="E20" s="21"/>
      <c r="F20" s="21"/>
      <c r="G20" s="21"/>
      <c r="H20" s="21"/>
      <c r="I20" s="21"/>
      <c r="J20" s="21"/>
      <c r="K20" s="21"/>
      <c r="L20" s="21"/>
      <c r="M20" s="7"/>
      <c r="N20" s="10"/>
      <c r="O20" s="10"/>
      <c r="P20" s="9"/>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row>
    <row r="21" spans="1:63" ht="15">
      <c r="A21" s="67">
        <v>7</v>
      </c>
      <c r="C21" s="18" t="str">
        <f>+C13</f>
        <v>  Production</v>
      </c>
      <c r="D21" s="21" t="s">
        <v>364</v>
      </c>
      <c r="E21" s="160">
        <f>588754345+67923866</f>
        <v>656678211</v>
      </c>
      <c r="F21" s="21"/>
      <c r="G21" s="21" t="str">
        <f aca="true" t="shared" si="0" ref="G21:H25">+G13</f>
        <v>NA</v>
      </c>
      <c r="H21" s="30" t="str">
        <f t="shared" si="0"/>
        <v> </v>
      </c>
      <c r="I21" s="21"/>
      <c r="J21" s="21" t="s">
        <v>105</v>
      </c>
      <c r="K21" s="21"/>
      <c r="L21" s="21"/>
      <c r="M21" s="7"/>
      <c r="N21" s="10"/>
      <c r="O21" s="10"/>
      <c r="P21" s="9"/>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row>
    <row r="22" spans="1:63" ht="15">
      <c r="A22" s="67">
        <v>8</v>
      </c>
      <c r="C22" s="18" t="str">
        <f>+C14</f>
        <v>  Transmission</v>
      </c>
      <c r="D22" s="21" t="s">
        <v>375</v>
      </c>
      <c r="E22" s="162">
        <v>142232641</v>
      </c>
      <c r="F22" s="21"/>
      <c r="G22" s="21" t="str">
        <f t="shared" si="0"/>
        <v>TP</v>
      </c>
      <c r="H22" s="30">
        <f t="shared" si="0"/>
        <v>0.9998433921104048</v>
      </c>
      <c r="I22" s="21"/>
      <c r="J22" s="21">
        <f>+H22*E22</f>
        <v>142210366.24626145</v>
      </c>
      <c r="K22" s="21"/>
      <c r="L22" s="21"/>
      <c r="M22" s="7"/>
      <c r="N22" s="10"/>
      <c r="O22" s="10"/>
      <c r="P22" s="9"/>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row>
    <row r="23" spans="1:63" ht="15">
      <c r="A23" s="67">
        <v>9</v>
      </c>
      <c r="C23" s="18" t="str">
        <f>+C15</f>
        <v>  Distribution</v>
      </c>
      <c r="D23" s="21" t="s">
        <v>376</v>
      </c>
      <c r="E23" s="91">
        <v>296706850</v>
      </c>
      <c r="F23" s="21"/>
      <c r="G23" s="21" t="str">
        <f t="shared" si="0"/>
        <v>NA</v>
      </c>
      <c r="H23" s="30" t="str">
        <f t="shared" si="0"/>
        <v> </v>
      </c>
      <c r="I23" s="21"/>
      <c r="J23" s="21" t="s">
        <v>105</v>
      </c>
      <c r="K23" s="21"/>
      <c r="L23" s="21"/>
      <c r="M23" s="7"/>
      <c r="N23" s="10"/>
      <c r="O23" s="10"/>
      <c r="P23" s="9"/>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row>
    <row r="24" spans="1:63" ht="15">
      <c r="A24" s="67">
        <v>10</v>
      </c>
      <c r="C24" s="18" t="str">
        <f>+C16</f>
        <v>  General &amp; Intangible</v>
      </c>
      <c r="D24" s="21" t="s">
        <v>377</v>
      </c>
      <c r="E24" s="91">
        <v>87226323</v>
      </c>
      <c r="F24" s="21"/>
      <c r="G24" s="21" t="str">
        <f t="shared" si="0"/>
        <v>W/S</v>
      </c>
      <c r="H24" s="30">
        <f t="shared" si="0"/>
        <v>0.05136150696490391</v>
      </c>
      <c r="I24" s="21"/>
      <c r="J24" s="21">
        <f>+H24*E24</f>
        <v>4480075.396287458</v>
      </c>
      <c r="K24" s="21"/>
      <c r="L24" s="21"/>
      <c r="M24" s="7"/>
      <c r="N24" s="10"/>
      <c r="O24" s="11"/>
      <c r="P24" s="9"/>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row>
    <row r="25" spans="1:63" ht="15" thickBot="1">
      <c r="A25" s="67">
        <v>11</v>
      </c>
      <c r="C25" s="18" t="str">
        <f>+C17</f>
        <v>  Common</v>
      </c>
      <c r="D25" s="21" t="s">
        <v>151</v>
      </c>
      <c r="E25" s="92">
        <v>0</v>
      </c>
      <c r="F25" s="21"/>
      <c r="G25" s="21" t="str">
        <f t="shared" si="0"/>
        <v>CE</v>
      </c>
      <c r="H25" s="30">
        <f t="shared" si="0"/>
        <v>0.05136150696490391</v>
      </c>
      <c r="I25" s="21"/>
      <c r="J25" s="61">
        <f>+H25*E25</f>
        <v>0</v>
      </c>
      <c r="K25" s="21"/>
      <c r="L25" s="21"/>
      <c r="M25" s="7"/>
      <c r="N25" s="10"/>
      <c r="O25" s="11"/>
      <c r="P25" s="9"/>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row>
    <row r="26" spans="1:63" ht="15">
      <c r="A26" s="67">
        <v>12</v>
      </c>
      <c r="C26" s="18" t="s">
        <v>155</v>
      </c>
      <c r="D26" s="21"/>
      <c r="E26" s="21">
        <f>SUM(E21:E25)</f>
        <v>1182844025</v>
      </c>
      <c r="F26" s="21"/>
      <c r="G26" s="21"/>
      <c r="H26" s="21"/>
      <c r="I26" s="21"/>
      <c r="J26" s="21">
        <f>SUM(J21:J25)</f>
        <v>146690441.64254892</v>
      </c>
      <c r="K26" s="21"/>
      <c r="L26" s="21"/>
      <c r="M26" s="7"/>
      <c r="N26" s="12"/>
      <c r="O26" s="10"/>
      <c r="P26" s="9"/>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row>
    <row r="27" spans="1:63" ht="15">
      <c r="A27" s="67"/>
      <c r="D27" s="21" t="s">
        <v>105</v>
      </c>
      <c r="F27" s="21"/>
      <c r="G27" s="21"/>
      <c r="H27" s="34"/>
      <c r="I27" s="21"/>
      <c r="K27" s="21"/>
      <c r="L27" s="34"/>
      <c r="M27" s="7"/>
      <c r="N27" s="10"/>
      <c r="O27" s="10"/>
      <c r="P27" s="9"/>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row>
    <row r="28" spans="1:63" ht="15">
      <c r="A28" s="67"/>
      <c r="C28" s="18" t="s">
        <v>156</v>
      </c>
      <c r="D28" s="21"/>
      <c r="E28" s="21"/>
      <c r="F28" s="21"/>
      <c r="G28" s="21"/>
      <c r="H28" s="21"/>
      <c r="I28" s="21"/>
      <c r="J28" s="21"/>
      <c r="K28" s="21"/>
      <c r="L28" s="21"/>
      <c r="M28" s="7"/>
      <c r="N28" s="10"/>
      <c r="O28" s="10"/>
      <c r="P28" s="9"/>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row>
    <row r="29" spans="1:63" ht="15">
      <c r="A29" s="67">
        <v>13</v>
      </c>
      <c r="C29" s="18" t="str">
        <f>+C21</f>
        <v>  Production</v>
      </c>
      <c r="D29" s="21" t="s">
        <v>767</v>
      </c>
      <c r="E29" s="21">
        <f>E13-E21</f>
        <v>717823774</v>
      </c>
      <c r="F29" s="21"/>
      <c r="G29" s="21"/>
      <c r="H29" s="34"/>
      <c r="I29" s="21"/>
      <c r="J29" s="21" t="s">
        <v>105</v>
      </c>
      <c r="K29" s="21"/>
      <c r="L29" s="34"/>
      <c r="M29" s="7"/>
      <c r="N29" s="10"/>
      <c r="O29" s="10"/>
      <c r="P29" s="9"/>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row>
    <row r="30" spans="1:63" ht="15">
      <c r="A30" s="67">
        <v>14</v>
      </c>
      <c r="C30" s="18" t="str">
        <f>+C22</f>
        <v>  Transmission</v>
      </c>
      <c r="D30" s="21" t="s">
        <v>768</v>
      </c>
      <c r="E30" s="21">
        <f>E14-E22</f>
        <v>202347700</v>
      </c>
      <c r="F30" s="21"/>
      <c r="G30" s="21"/>
      <c r="H30" s="30"/>
      <c r="I30" s="21"/>
      <c r="J30" s="21">
        <f>J14-J22</f>
        <v>202316010.75373855</v>
      </c>
      <c r="K30" s="21"/>
      <c r="L30" s="34"/>
      <c r="M30" s="7"/>
      <c r="N30" s="10"/>
      <c r="O30" s="10"/>
      <c r="P30" s="9"/>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row>
    <row r="31" spans="1:63" ht="15">
      <c r="A31" s="67">
        <v>15</v>
      </c>
      <c r="C31" s="18" t="str">
        <f>+C23</f>
        <v>  Distribution</v>
      </c>
      <c r="D31" s="21" t="s">
        <v>769</v>
      </c>
      <c r="E31" s="21">
        <f>E15-E23</f>
        <v>456114649</v>
      </c>
      <c r="F31" s="21"/>
      <c r="G31" s="21"/>
      <c r="H31" s="34"/>
      <c r="I31" s="21"/>
      <c r="J31" s="21" t="s">
        <v>105</v>
      </c>
      <c r="K31" s="21"/>
      <c r="L31" s="34"/>
      <c r="M31" s="7"/>
      <c r="N31" s="10"/>
      <c r="O31" s="10"/>
      <c r="P31" s="9"/>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row>
    <row r="32" spans="1:63" ht="15">
      <c r="A32" s="67">
        <v>16</v>
      </c>
      <c r="C32" s="18" t="str">
        <f>+C24</f>
        <v>  General &amp; Intangible</v>
      </c>
      <c r="D32" s="21" t="s">
        <v>770</v>
      </c>
      <c r="E32" s="21">
        <f>E16-E24</f>
        <v>98932744</v>
      </c>
      <c r="F32" s="21"/>
      <c r="G32" s="21"/>
      <c r="H32" s="34"/>
      <c r="I32" s="21"/>
      <c r="J32" s="21">
        <f>J16-J24</f>
        <v>5081334.820013056</v>
      </c>
      <c r="K32" s="21"/>
      <c r="L32" s="34"/>
      <c r="M32" s="7"/>
      <c r="N32" s="10"/>
      <c r="O32" s="11"/>
      <c r="P32" s="9"/>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row>
    <row r="33" spans="1:63" ht="15" thickBot="1">
      <c r="A33" s="67">
        <v>17</v>
      </c>
      <c r="C33" s="18" t="str">
        <f>+C25</f>
        <v>  Common</v>
      </c>
      <c r="D33" s="21" t="s">
        <v>771</v>
      </c>
      <c r="E33" s="115">
        <f>E17-E25</f>
        <v>0</v>
      </c>
      <c r="F33" s="21"/>
      <c r="G33" s="21"/>
      <c r="H33" s="34"/>
      <c r="I33" s="21"/>
      <c r="J33" s="115">
        <f>J17-J25</f>
        <v>0</v>
      </c>
      <c r="K33" s="21"/>
      <c r="L33" s="34"/>
      <c r="M33" s="7"/>
      <c r="N33" s="10"/>
      <c r="O33" s="11"/>
      <c r="P33" s="9"/>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row>
    <row r="34" spans="1:63" ht="15">
      <c r="A34" s="67">
        <v>18</v>
      </c>
      <c r="C34" s="18" t="s">
        <v>157</v>
      </c>
      <c r="D34" s="21"/>
      <c r="E34" s="21">
        <f>SUM(E29:E33)</f>
        <v>1475218867</v>
      </c>
      <c r="F34" s="21"/>
      <c r="G34" s="21" t="s">
        <v>74</v>
      </c>
      <c r="H34" s="47">
        <f>IF(J34&gt;0,J34/E34,0)</f>
        <v>0.1405875088864028</v>
      </c>
      <c r="I34" s="21"/>
      <c r="J34" s="21">
        <f>SUM(J29:J33)</f>
        <v>207397345.5737516</v>
      </c>
      <c r="K34" s="21"/>
      <c r="L34" s="21"/>
      <c r="M34" s="7"/>
      <c r="N34" s="13"/>
      <c r="O34" s="10"/>
      <c r="P34" s="9"/>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row>
    <row r="35" spans="1:63" ht="15">
      <c r="A35" s="67"/>
      <c r="D35" s="167"/>
      <c r="F35" s="21"/>
      <c r="I35" s="21"/>
      <c r="K35" s="21"/>
      <c r="L35" s="34"/>
      <c r="M35" s="7"/>
      <c r="N35" s="10"/>
      <c r="O35" s="10"/>
      <c r="P35" s="9"/>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row>
    <row r="36" spans="1:63" ht="15">
      <c r="A36" s="67"/>
      <c r="C36" s="48" t="s">
        <v>84</v>
      </c>
      <c r="D36" s="55"/>
      <c r="E36" s="21"/>
      <c r="F36" s="21"/>
      <c r="G36" s="21"/>
      <c r="H36" s="21"/>
      <c r="I36" s="21"/>
      <c r="J36" s="21"/>
      <c r="K36" s="21"/>
      <c r="L36" s="21"/>
      <c r="M36" s="7"/>
      <c r="N36" s="10" t="s">
        <v>105</v>
      </c>
      <c r="O36" s="10"/>
      <c r="P36" s="9"/>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row>
    <row r="37" spans="1:63" ht="15" thickBot="1">
      <c r="A37" s="67">
        <v>19</v>
      </c>
      <c r="C37" s="18" t="s">
        <v>401</v>
      </c>
      <c r="D37" s="55" t="s">
        <v>775</v>
      </c>
      <c r="E37" s="115">
        <f>SUM('Worksheet E'!D14:H14)</f>
        <v>-270991440.43999994</v>
      </c>
      <c r="F37" s="21" t="s">
        <v>105</v>
      </c>
      <c r="G37" s="55" t="s">
        <v>652</v>
      </c>
      <c r="H37" s="55"/>
      <c r="I37" s="55"/>
      <c r="J37" s="115">
        <f>SUM('Worksheet E'!E17:G17)</f>
        <v>-42471063.96179777</v>
      </c>
      <c r="K37" s="21"/>
      <c r="L37" s="34"/>
      <c r="M37" s="7"/>
      <c r="N37" s="14"/>
      <c r="O37" s="11"/>
      <c r="P37" s="9"/>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row>
    <row r="38" spans="1:63" ht="15">
      <c r="A38" s="67">
        <v>20</v>
      </c>
      <c r="B38" s="458"/>
      <c r="C38" s="18" t="s">
        <v>653</v>
      </c>
      <c r="D38" s="21" t="s">
        <v>745</v>
      </c>
      <c r="E38" s="55">
        <f>+E37</f>
        <v>-270991440.43999994</v>
      </c>
      <c r="F38" s="21"/>
      <c r="G38" s="21"/>
      <c r="H38" s="21"/>
      <c r="I38" s="21"/>
      <c r="J38" s="55">
        <f>+J37</f>
        <v>-42471063.96179777</v>
      </c>
      <c r="K38" s="21"/>
      <c r="L38" s="21"/>
      <c r="M38" s="7"/>
      <c r="N38" s="12"/>
      <c r="O38" s="10"/>
      <c r="P38" s="9"/>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row>
    <row r="39" spans="1:63" ht="15">
      <c r="A39" s="67"/>
      <c r="D39" s="21"/>
      <c r="F39" s="21"/>
      <c r="G39" s="21"/>
      <c r="H39" s="34"/>
      <c r="I39" s="21"/>
      <c r="K39" s="21"/>
      <c r="L39" s="34"/>
      <c r="M39" s="7"/>
      <c r="N39" s="10"/>
      <c r="O39" s="10"/>
      <c r="P39" s="9"/>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row>
    <row r="40" spans="1:63" ht="15">
      <c r="A40" s="67">
        <v>21</v>
      </c>
      <c r="B40" s="458"/>
      <c r="C40" s="48" t="s">
        <v>160</v>
      </c>
      <c r="D40" s="21" t="s">
        <v>738</v>
      </c>
      <c r="E40" s="91">
        <v>0</v>
      </c>
      <c r="F40" s="21"/>
      <c r="G40" s="21" t="str">
        <f>+G22</f>
        <v>TP</v>
      </c>
      <c r="H40" s="30">
        <f>+H22</f>
        <v>0.9998433921104048</v>
      </c>
      <c r="I40" s="21"/>
      <c r="J40" s="21">
        <f>+H40*E40</f>
        <v>0</v>
      </c>
      <c r="K40" s="21"/>
      <c r="L40" s="21"/>
      <c r="M40" s="7"/>
      <c r="N40" s="10"/>
      <c r="O40" s="10"/>
      <c r="P40" s="9"/>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row>
    <row r="41" spans="1:63" ht="15">
      <c r="A41" s="67"/>
      <c r="C41" s="18"/>
      <c r="D41" s="21"/>
      <c r="E41" s="21"/>
      <c r="F41" s="21"/>
      <c r="G41" s="21"/>
      <c r="H41" s="21"/>
      <c r="I41" s="21"/>
      <c r="J41" s="21"/>
      <c r="K41" s="21"/>
      <c r="L41" s="21"/>
      <c r="M41" s="7"/>
      <c r="N41" s="10"/>
      <c r="O41" s="10"/>
      <c r="P41" s="9"/>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row>
    <row r="42" spans="1:63" ht="15">
      <c r="A42" s="67"/>
      <c r="C42" s="18" t="s">
        <v>739</v>
      </c>
      <c r="D42" s="167"/>
      <c r="E42" s="21"/>
      <c r="F42" s="21"/>
      <c r="G42" s="21"/>
      <c r="H42" s="21"/>
      <c r="I42" s="21"/>
      <c r="J42" s="21"/>
      <c r="K42" s="21"/>
      <c r="L42" s="21"/>
      <c r="M42" s="7"/>
      <c r="N42" s="10"/>
      <c r="O42" s="10"/>
      <c r="P42" s="9"/>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row>
    <row r="43" spans="1:63" ht="15">
      <c r="A43" s="67">
        <v>22</v>
      </c>
      <c r="B43" s="458"/>
      <c r="C43" s="18" t="s">
        <v>267</v>
      </c>
      <c r="D43" s="129" t="s">
        <v>741</v>
      </c>
      <c r="E43" s="21">
        <f>+E69/8</f>
        <v>12296316.881250001</v>
      </c>
      <c r="F43" s="21"/>
      <c r="G43" s="21"/>
      <c r="H43" s="34"/>
      <c r="I43" s="21"/>
      <c r="J43" s="21">
        <f>+J69/8</f>
        <v>5077338.384983714</v>
      </c>
      <c r="K43" s="16"/>
      <c r="L43" s="34"/>
      <c r="M43" s="7"/>
      <c r="N43" s="15"/>
      <c r="O43" s="11"/>
      <c r="P43" s="9"/>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row>
    <row r="44" spans="1:63" ht="15">
      <c r="A44" s="67">
        <v>23</v>
      </c>
      <c r="B44" s="458"/>
      <c r="C44" s="18" t="s">
        <v>740</v>
      </c>
      <c r="D44" s="21" t="s">
        <v>742</v>
      </c>
      <c r="E44" s="164">
        <v>4010426</v>
      </c>
      <c r="F44" s="21"/>
      <c r="G44" s="21" t="s">
        <v>161</v>
      </c>
      <c r="H44" s="30">
        <f>J134</f>
        <v>0.9905165699112474</v>
      </c>
      <c r="I44" s="21"/>
      <c r="J44" s="21">
        <f>+H44*E44</f>
        <v>3972393.4054028844</v>
      </c>
      <c r="K44" s="21" t="s">
        <v>105</v>
      </c>
      <c r="L44" s="34"/>
      <c r="M44" s="7"/>
      <c r="N44" s="15"/>
      <c r="O44" s="11"/>
      <c r="P44" s="9"/>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row>
    <row r="45" spans="1:63" ht="15" thickBot="1">
      <c r="A45" s="67">
        <v>24</v>
      </c>
      <c r="B45" s="458"/>
      <c r="C45" s="18" t="s">
        <v>75</v>
      </c>
      <c r="D45" s="55" t="s">
        <v>726</v>
      </c>
      <c r="E45" s="92">
        <v>5352209</v>
      </c>
      <c r="F45" s="21" t="s">
        <v>105</v>
      </c>
      <c r="G45" s="21" t="s">
        <v>162</v>
      </c>
      <c r="H45" s="123">
        <f>H18</f>
        <v>0.13321271979004043</v>
      </c>
      <c r="I45" s="55"/>
      <c r="J45" s="115">
        <f>H45*E45</f>
        <v>712982.3177747325</v>
      </c>
      <c r="K45" s="21"/>
      <c r="L45" s="34"/>
      <c r="M45" s="7"/>
      <c r="N45" s="15"/>
      <c r="O45" s="11"/>
      <c r="P45" s="9"/>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row>
    <row r="46" spans="1:63" ht="15">
      <c r="A46" s="67">
        <v>25</v>
      </c>
      <c r="B46" s="458"/>
      <c r="C46" s="18" t="s">
        <v>597</v>
      </c>
      <c r="D46" s="16"/>
      <c r="E46" s="21">
        <f>E43+E44+E45</f>
        <v>21658951.88125</v>
      </c>
      <c r="F46" s="16"/>
      <c r="G46" s="16"/>
      <c r="H46" s="16"/>
      <c r="I46" s="16"/>
      <c r="J46" s="21">
        <f>J43+J44+J45</f>
        <v>9762714.10816133</v>
      </c>
      <c r="K46" s="16"/>
      <c r="L46" s="16"/>
      <c r="M46" s="7"/>
      <c r="N46" s="12"/>
      <c r="O46" s="10"/>
      <c r="P46" s="9"/>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row>
    <row r="47" spans="4:63" ht="15" thickBot="1">
      <c r="D47" s="21"/>
      <c r="E47" s="75"/>
      <c r="F47" s="21"/>
      <c r="G47" s="21"/>
      <c r="H47" s="21"/>
      <c r="I47" s="21"/>
      <c r="J47" s="75"/>
      <c r="K47" s="21"/>
      <c r="L47" s="21"/>
      <c r="M47" s="7"/>
      <c r="N47" s="10"/>
      <c r="O47" s="10"/>
      <c r="P47" s="9"/>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row>
    <row r="48" spans="1:63" ht="15" thickBot="1">
      <c r="A48" s="67">
        <v>26</v>
      </c>
      <c r="C48" s="18" t="s">
        <v>744</v>
      </c>
      <c r="D48" s="21"/>
      <c r="E48" s="74">
        <f>+E46+E40+E38+E34</f>
        <v>1225886378.44125</v>
      </c>
      <c r="F48" s="21"/>
      <c r="G48" s="21"/>
      <c r="H48" s="34"/>
      <c r="I48" s="21"/>
      <c r="J48" s="74">
        <f>+J46+J40+J38+J34</f>
        <v>174688995.72011515</v>
      </c>
      <c r="K48" s="21"/>
      <c r="L48" s="34"/>
      <c r="M48" s="10"/>
      <c r="N48" s="10"/>
      <c r="O48" s="10"/>
      <c r="P48" s="9"/>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row>
    <row r="49" spans="1:63" ht="15" thickTop="1">
      <c r="A49" s="67"/>
      <c r="C49" s="18"/>
      <c r="D49" s="512" t="str">
        <f>+D1</f>
        <v>     Rate Formula Template</v>
      </c>
      <c r="E49" s="510"/>
      <c r="F49" s="510"/>
      <c r="G49" s="21"/>
      <c r="J49" s="172" t="str">
        <f>+J1</f>
        <v> </v>
      </c>
      <c r="K49" s="21"/>
      <c r="L49" s="21"/>
      <c r="M49" s="10"/>
      <c r="N49" s="10"/>
      <c r="O49" s="10"/>
      <c r="P49" s="9"/>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row>
    <row r="50" spans="1:63" ht="15">
      <c r="A50" s="67"/>
      <c r="C50" s="18"/>
      <c r="D50" s="512" t="str">
        <f>D2</f>
        <v> Utilizing FERC Form 1 Data</v>
      </c>
      <c r="E50" s="510"/>
      <c r="F50" s="510"/>
      <c r="G50" s="21"/>
      <c r="H50" s="21"/>
      <c r="J50" s="172" t="str">
        <f>+J2</f>
        <v>Schedule WEN</v>
      </c>
      <c r="K50" s="21"/>
      <c r="L50" s="21"/>
      <c r="M50" s="10"/>
      <c r="N50" s="10"/>
      <c r="O50" s="10"/>
      <c r="P50" s="9"/>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row>
    <row r="51" spans="1:63" ht="15">
      <c r="A51" s="67"/>
      <c r="D51" s="512" t="str">
        <f>D3</f>
        <v>For the 12 months ended 12/31/05</v>
      </c>
      <c r="E51" s="510"/>
      <c r="F51" s="510"/>
      <c r="G51" s="21"/>
      <c r="H51" s="21"/>
      <c r="I51" s="21"/>
      <c r="J51" s="375" t="s">
        <v>86</v>
      </c>
      <c r="K51" s="21"/>
      <c r="L51" s="21"/>
      <c r="M51" s="10"/>
      <c r="N51" s="10"/>
      <c r="O51" s="10"/>
      <c r="P51" s="9"/>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row>
    <row r="52" spans="1:63" ht="15">
      <c r="A52" s="67"/>
      <c r="D52" s="21"/>
      <c r="E52" s="22"/>
      <c r="F52" s="21"/>
      <c r="G52" s="21"/>
      <c r="H52" s="21"/>
      <c r="I52" s="21"/>
      <c r="K52" s="21"/>
      <c r="L52" s="21"/>
      <c r="M52" s="10"/>
      <c r="N52" s="10"/>
      <c r="O52" s="10"/>
      <c r="P52" s="9"/>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row>
    <row r="53" spans="1:63" ht="15">
      <c r="A53" s="67"/>
      <c r="D53" s="513" t="str">
        <f>+D5</f>
        <v>WESTAR ENERGY, INC.</v>
      </c>
      <c r="E53" s="510"/>
      <c r="F53" s="510"/>
      <c r="G53" s="28"/>
      <c r="H53" s="28"/>
      <c r="I53" s="21"/>
      <c r="K53" s="21"/>
      <c r="L53" s="21"/>
      <c r="M53" s="10"/>
      <c r="N53" s="10"/>
      <c r="O53" s="10"/>
      <c r="P53" s="9"/>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row>
    <row r="54" spans="1:63" ht="15">
      <c r="A54" s="67"/>
      <c r="D54" s="513" t="str">
        <f>+D6</f>
        <v>(WEN)</v>
      </c>
      <c r="E54" s="510"/>
      <c r="F54" s="510"/>
      <c r="G54" s="28"/>
      <c r="H54" s="28"/>
      <c r="I54" s="21"/>
      <c r="J54" s="21"/>
      <c r="K54" s="21"/>
      <c r="L54" s="21"/>
      <c r="M54" s="10"/>
      <c r="N54" s="10"/>
      <c r="O54" s="10"/>
      <c r="P54" s="9"/>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row>
    <row r="55" spans="1:63" ht="15">
      <c r="A55" s="67"/>
      <c r="C55" s="20" t="s">
        <v>131</v>
      </c>
      <c r="D55" s="20" t="s">
        <v>132</v>
      </c>
      <c r="E55" s="20" t="s">
        <v>133</v>
      </c>
      <c r="F55" s="21" t="s">
        <v>105</v>
      </c>
      <c r="G55" s="21"/>
      <c r="H55" s="23" t="s">
        <v>134</v>
      </c>
      <c r="I55" s="21"/>
      <c r="J55" s="24" t="s">
        <v>135</v>
      </c>
      <c r="K55" s="21"/>
      <c r="L55" s="21"/>
      <c r="M55" s="10"/>
      <c r="N55" s="7"/>
      <c r="O55" s="10"/>
      <c r="P55" s="9"/>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row>
    <row r="56" spans="1:63" ht="15">
      <c r="A56" s="67"/>
      <c r="C56" s="20"/>
      <c r="D56" s="3"/>
      <c r="E56" s="3"/>
      <c r="F56" s="3"/>
      <c r="G56" s="3"/>
      <c r="H56" s="3"/>
      <c r="I56" s="3"/>
      <c r="J56" s="3"/>
      <c r="K56" s="3"/>
      <c r="L56" s="51"/>
      <c r="M56" s="3"/>
      <c r="N56" s="3"/>
      <c r="O56" s="10"/>
      <c r="P56" s="9"/>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row>
    <row r="57" spans="1:63" ht="15">
      <c r="A57" s="67" t="s">
        <v>106</v>
      </c>
      <c r="C57" s="18"/>
      <c r="D57" s="46" t="s">
        <v>136</v>
      </c>
      <c r="E57" s="21"/>
      <c r="F57" s="21"/>
      <c r="G57" s="21"/>
      <c r="H57" s="50"/>
      <c r="I57" s="21"/>
      <c r="J57" s="51" t="s">
        <v>137</v>
      </c>
      <c r="K57" s="21"/>
      <c r="L57" s="51"/>
      <c r="M57" s="21"/>
      <c r="N57" s="50"/>
      <c r="O57" s="10"/>
      <c r="P57" s="9"/>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row>
    <row r="58" spans="1:63" ht="15.75" thickBot="1">
      <c r="A58" s="68" t="s">
        <v>110</v>
      </c>
      <c r="C58" s="18"/>
      <c r="D58" s="71" t="s">
        <v>138</v>
      </c>
      <c r="E58" s="51" t="s">
        <v>139</v>
      </c>
      <c r="F58" s="72"/>
      <c r="G58" s="51" t="s">
        <v>140</v>
      </c>
      <c r="H58" s="28"/>
      <c r="I58" s="72"/>
      <c r="J58" s="73" t="s">
        <v>141</v>
      </c>
      <c r="K58" s="21"/>
      <c r="L58" s="76"/>
      <c r="M58" s="77"/>
      <c r="N58" s="51"/>
      <c r="O58" s="10"/>
      <c r="P58" s="9"/>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row>
    <row r="59" spans="3:63" ht="15">
      <c r="C59" s="18"/>
      <c r="D59" s="21"/>
      <c r="E59" s="25"/>
      <c r="F59" s="26"/>
      <c r="G59" s="27"/>
      <c r="H59" s="28"/>
      <c r="I59" s="26"/>
      <c r="J59" s="25"/>
      <c r="K59" s="21"/>
      <c r="L59" s="21"/>
      <c r="M59" s="10"/>
      <c r="N59" s="10"/>
      <c r="O59" s="10"/>
      <c r="P59" s="9"/>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row>
    <row r="60" spans="1:63" ht="15">
      <c r="A60" s="67"/>
      <c r="C60" s="18" t="s">
        <v>163</v>
      </c>
      <c r="D60" s="167"/>
      <c r="E60" s="21"/>
      <c r="F60" s="21"/>
      <c r="G60" s="21"/>
      <c r="H60" s="21"/>
      <c r="I60" s="21"/>
      <c r="J60" s="21"/>
      <c r="K60" s="21"/>
      <c r="L60" s="21"/>
      <c r="M60" s="10"/>
      <c r="N60" s="10"/>
      <c r="O60" s="10"/>
      <c r="P60" s="9"/>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row>
    <row r="61" spans="1:63" ht="15">
      <c r="A61" s="67">
        <v>1</v>
      </c>
      <c r="C61" s="121" t="s">
        <v>820</v>
      </c>
      <c r="D61" s="21" t="s">
        <v>164</v>
      </c>
      <c r="E61" s="91">
        <f>+'Worksheet D'!J10</f>
        <v>43539416.25</v>
      </c>
      <c r="F61" s="21" t="s">
        <v>105</v>
      </c>
      <c r="G61" s="21" t="s">
        <v>161</v>
      </c>
      <c r="H61" s="30">
        <f>J134</f>
        <v>0.9905165699112474</v>
      </c>
      <c r="I61" s="21"/>
      <c r="J61" s="21">
        <f>+H61*E61</f>
        <v>43126513.23988803</v>
      </c>
      <c r="K61" s="16"/>
      <c r="L61" s="21"/>
      <c r="M61" s="10"/>
      <c r="N61" s="10"/>
      <c r="O61" s="11"/>
      <c r="P61" s="10" t="s">
        <v>105</v>
      </c>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row>
    <row r="62" spans="1:63" ht="15">
      <c r="A62" s="67">
        <v>2</v>
      </c>
      <c r="C62" s="18" t="s">
        <v>821</v>
      </c>
      <c r="D62" s="21" t="s">
        <v>165</v>
      </c>
      <c r="E62" s="91">
        <v>5892496</v>
      </c>
      <c r="F62" s="21" t="s">
        <v>105</v>
      </c>
      <c r="G62" s="21" t="s">
        <v>105</v>
      </c>
      <c r="H62" s="30">
        <v>1</v>
      </c>
      <c r="I62" s="21"/>
      <c r="J62" s="21">
        <f aca="true" t="shared" si="1" ref="J62:J68">+H62*E62</f>
        <v>5892496</v>
      </c>
      <c r="K62" s="16"/>
      <c r="L62" s="21"/>
      <c r="M62" s="10"/>
      <c r="N62" s="10"/>
      <c r="O62" s="11"/>
      <c r="P62" s="10"/>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row>
    <row r="63" spans="1:63" ht="15">
      <c r="A63" s="67">
        <v>3</v>
      </c>
      <c r="C63" s="18" t="s">
        <v>500</v>
      </c>
      <c r="D63" s="21" t="s">
        <v>166</v>
      </c>
      <c r="E63" s="91">
        <f>61986451-12153762.37+E233</f>
        <v>61787119.71</v>
      </c>
      <c r="F63" s="21" t="s">
        <v>105</v>
      </c>
      <c r="G63" s="21" t="s">
        <v>149</v>
      </c>
      <c r="H63" s="30">
        <f>+H24</f>
        <v>0.05136150696490391</v>
      </c>
      <c r="I63" s="21"/>
      <c r="J63" s="21">
        <f t="shared" si="1"/>
        <v>3173479.5793265165</v>
      </c>
      <c r="K63" s="21"/>
      <c r="L63" s="21" t="s">
        <v>105</v>
      </c>
      <c r="M63" s="10"/>
      <c r="N63" s="172"/>
      <c r="O63" s="11"/>
      <c r="P63" s="9"/>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row>
    <row r="64" spans="1:63" ht="15">
      <c r="A64" s="67">
        <v>4</v>
      </c>
      <c r="C64" s="18" t="s">
        <v>167</v>
      </c>
      <c r="D64" s="21"/>
      <c r="E64" s="91">
        <v>186097</v>
      </c>
      <c r="F64" s="21"/>
      <c r="G64" s="21" t="str">
        <f>+G63</f>
        <v>W/S</v>
      </c>
      <c r="H64" s="30">
        <f>+H63</f>
        <v>0.05136150696490391</v>
      </c>
      <c r="I64" s="21"/>
      <c r="J64" s="21">
        <f t="shared" si="1"/>
        <v>9558.222361647722</v>
      </c>
      <c r="K64" s="21"/>
      <c r="L64" s="21"/>
      <c r="M64" s="10"/>
      <c r="N64" s="171"/>
      <c r="O64" s="11"/>
      <c r="P64" s="9"/>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row>
    <row r="65" spans="1:63" ht="15">
      <c r="A65" s="67">
        <v>5</v>
      </c>
      <c r="C65" s="121" t="s">
        <v>822</v>
      </c>
      <c r="D65" s="55"/>
      <c r="E65" s="160">
        <f>1209581-E64+136979.91</f>
        <v>1160463.91</v>
      </c>
      <c r="F65" s="21" t="s">
        <v>105</v>
      </c>
      <c r="G65" s="21" t="str">
        <f>+G64</f>
        <v>W/S</v>
      </c>
      <c r="H65" s="30">
        <f>+H64</f>
        <v>0.05136150696490391</v>
      </c>
      <c r="I65" s="21"/>
      <c r="J65" s="21">
        <f t="shared" si="1"/>
        <v>59603.175195984615</v>
      </c>
      <c r="K65" s="21"/>
      <c r="L65" s="21"/>
      <c r="M65" s="10"/>
      <c r="N65" s="10"/>
      <c r="O65" s="11"/>
      <c r="P65" s="9"/>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row>
    <row r="66" spans="1:63" ht="15">
      <c r="A66" s="67" t="s">
        <v>275</v>
      </c>
      <c r="C66" s="121" t="s">
        <v>823</v>
      </c>
      <c r="D66" s="55"/>
      <c r="E66" s="91">
        <v>283056</v>
      </c>
      <c r="F66" s="21" t="s">
        <v>105</v>
      </c>
      <c r="G66" s="126" t="str">
        <f>+G61</f>
        <v>TE</v>
      </c>
      <c r="H66" s="123">
        <f>+H61</f>
        <v>0.9905165699112474</v>
      </c>
      <c r="I66" s="21"/>
      <c r="J66" s="21">
        <f>+H66*E66</f>
        <v>280371.658212798</v>
      </c>
      <c r="K66" s="21"/>
      <c r="L66" s="21"/>
      <c r="M66" s="10"/>
      <c r="N66" s="173"/>
      <c r="O66" s="11"/>
      <c r="P66" s="9"/>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row>
    <row r="67" spans="1:63" ht="15">
      <c r="A67" s="67">
        <v>6</v>
      </c>
      <c r="C67" s="18" t="s">
        <v>150</v>
      </c>
      <c r="D67" s="21" t="str">
        <f>+D25</f>
        <v>356.1</v>
      </c>
      <c r="E67" s="91">
        <v>0</v>
      </c>
      <c r="F67" s="21"/>
      <c r="G67" s="21" t="s">
        <v>206</v>
      </c>
      <c r="H67" s="30">
        <f>+H25</f>
        <v>0.05136150696490391</v>
      </c>
      <c r="I67" s="21"/>
      <c r="J67" s="21">
        <f t="shared" si="1"/>
        <v>0</v>
      </c>
      <c r="K67" s="21"/>
      <c r="L67" s="21"/>
      <c r="M67" s="10"/>
      <c r="N67" s="173"/>
      <c r="O67" s="11"/>
      <c r="P67" s="9"/>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row>
    <row r="68" spans="1:63" ht="15" thickBot="1">
      <c r="A68" s="67">
        <v>7</v>
      </c>
      <c r="C68" s="18" t="s">
        <v>168</v>
      </c>
      <c r="D68" s="21"/>
      <c r="E68" s="92">
        <v>0</v>
      </c>
      <c r="F68" s="21"/>
      <c r="G68" s="21" t="s">
        <v>105</v>
      </c>
      <c r="H68" s="30">
        <v>1</v>
      </c>
      <c r="I68" s="21"/>
      <c r="J68" s="61">
        <f t="shared" si="1"/>
        <v>0</v>
      </c>
      <c r="K68" s="21"/>
      <c r="L68" s="21"/>
      <c r="M68" s="10"/>
      <c r="N68" s="10"/>
      <c r="O68" s="11"/>
      <c r="P68" s="9"/>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row>
    <row r="69" spans="1:63" ht="15">
      <c r="A69" s="67">
        <v>8</v>
      </c>
      <c r="C69" s="18" t="s">
        <v>276</v>
      </c>
      <c r="D69" s="21"/>
      <c r="E69" s="21">
        <f>+E61-E62+E63-E64-E65+E67+E68+E66</f>
        <v>98370535.05000001</v>
      </c>
      <c r="F69" s="21"/>
      <c r="G69" s="21"/>
      <c r="H69" s="21"/>
      <c r="I69" s="21"/>
      <c r="J69" s="21">
        <f>+J61-J62+J63-J64-J65+J67+J68+J66</f>
        <v>40618707.07986971</v>
      </c>
      <c r="K69" s="21"/>
      <c r="L69" s="21"/>
      <c r="M69" s="10"/>
      <c r="N69" s="12"/>
      <c r="O69" s="10"/>
      <c r="P69" s="9"/>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row>
    <row r="70" spans="1:63" ht="15">
      <c r="A70" s="67"/>
      <c r="D70" s="21"/>
      <c r="F70" s="21"/>
      <c r="G70" s="21"/>
      <c r="H70" s="21"/>
      <c r="I70" s="21"/>
      <c r="K70" s="21"/>
      <c r="L70" s="21"/>
      <c r="M70" s="10"/>
      <c r="N70" s="21"/>
      <c r="O70" s="10"/>
      <c r="P70" s="9"/>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row>
    <row r="71" spans="1:63" ht="15">
      <c r="A71" s="67"/>
      <c r="C71" s="18" t="s">
        <v>169</v>
      </c>
      <c r="D71" s="167"/>
      <c r="E71" s="21"/>
      <c r="F71" s="21"/>
      <c r="G71" s="21"/>
      <c r="H71" s="21"/>
      <c r="I71" s="21"/>
      <c r="J71" s="21"/>
      <c r="K71" s="21"/>
      <c r="L71" s="21"/>
      <c r="M71" s="10"/>
      <c r="N71" s="21"/>
      <c r="O71" s="10"/>
      <c r="P71" s="9"/>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row>
    <row r="72" spans="1:63" ht="15">
      <c r="A72" s="67">
        <v>9</v>
      </c>
      <c r="C72" s="121" t="s">
        <v>146</v>
      </c>
      <c r="D72" s="21" t="s">
        <v>170</v>
      </c>
      <c r="E72" s="91">
        <v>7345631</v>
      </c>
      <c r="F72" s="21"/>
      <c r="G72" s="21" t="s">
        <v>115</v>
      </c>
      <c r="H72" s="30">
        <f>+H40</f>
        <v>0.9998433921104048</v>
      </c>
      <c r="I72" s="21"/>
      <c r="J72" s="21">
        <f>+H72*E72</f>
        <v>7344480.616231346</v>
      </c>
      <c r="K72" s="21"/>
      <c r="L72" s="34"/>
      <c r="M72" s="10"/>
      <c r="N72" s="21"/>
      <c r="O72" s="11"/>
      <c r="P72" s="10" t="s">
        <v>105</v>
      </c>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row>
    <row r="73" spans="1:63" ht="15">
      <c r="A73" s="67">
        <v>10</v>
      </c>
      <c r="C73" s="18" t="s">
        <v>171</v>
      </c>
      <c r="D73" s="21" t="s">
        <v>172</v>
      </c>
      <c r="E73" s="91">
        <v>10032582</v>
      </c>
      <c r="F73" s="21"/>
      <c r="G73" s="21" t="s">
        <v>149</v>
      </c>
      <c r="H73" s="30">
        <f>+H63</f>
        <v>0.05136150696490391</v>
      </c>
      <c r="I73" s="21"/>
      <c r="J73" s="21">
        <f>+H73*E73</f>
        <v>515288.5302689696</v>
      </c>
      <c r="K73" s="21"/>
      <c r="L73" s="34"/>
      <c r="M73" s="10"/>
      <c r="N73" s="21"/>
      <c r="O73" s="11"/>
      <c r="P73" s="10" t="s">
        <v>105</v>
      </c>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row>
    <row r="74" spans="1:63" ht="15" thickBot="1">
      <c r="A74" s="67">
        <v>11</v>
      </c>
      <c r="C74" s="18" t="str">
        <f>+C67</f>
        <v>  Common</v>
      </c>
      <c r="D74" s="21" t="s">
        <v>173</v>
      </c>
      <c r="E74" s="92">
        <v>0</v>
      </c>
      <c r="F74" s="21"/>
      <c r="G74" s="21" t="s">
        <v>206</v>
      </c>
      <c r="H74" s="30">
        <f>+H67</f>
        <v>0.05136150696490391</v>
      </c>
      <c r="I74" s="21"/>
      <c r="J74" s="61">
        <f>+H74*E74</f>
        <v>0</v>
      </c>
      <c r="K74" s="21"/>
      <c r="L74" s="34"/>
      <c r="M74" s="10"/>
      <c r="N74" s="21"/>
      <c r="O74" s="11"/>
      <c r="P74" s="10" t="s">
        <v>105</v>
      </c>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row>
    <row r="75" spans="1:63" ht="15">
      <c r="A75" s="67">
        <v>12</v>
      </c>
      <c r="C75" s="18" t="s">
        <v>174</v>
      </c>
      <c r="D75" s="21"/>
      <c r="E75" s="21">
        <f>SUM(E72:E74)</f>
        <v>17378213</v>
      </c>
      <c r="F75" s="21"/>
      <c r="G75" s="21"/>
      <c r="H75" s="21"/>
      <c r="I75" s="21"/>
      <c r="J75" s="21">
        <f>SUM(J72:J74)</f>
        <v>7859769.1465003155</v>
      </c>
      <c r="K75" s="21"/>
      <c r="L75" s="21"/>
      <c r="M75" s="10"/>
      <c r="N75" s="21"/>
      <c r="O75" s="10"/>
      <c r="P75" s="9"/>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row>
    <row r="76" spans="1:63" ht="15">
      <c r="A76" s="67"/>
      <c r="C76" s="18"/>
      <c r="D76" s="21"/>
      <c r="E76" s="21"/>
      <c r="F76" s="21"/>
      <c r="G76" s="21"/>
      <c r="H76" s="21"/>
      <c r="I76" s="21"/>
      <c r="J76" s="21"/>
      <c r="K76" s="21"/>
      <c r="L76" s="21"/>
      <c r="M76" s="10"/>
      <c r="N76" s="21"/>
      <c r="O76" s="10"/>
      <c r="P76" s="9"/>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row>
    <row r="77" spans="1:63" ht="15">
      <c r="A77" s="67" t="s">
        <v>105</v>
      </c>
      <c r="C77" s="18" t="s">
        <v>824</v>
      </c>
      <c r="D77" s="28"/>
      <c r="E77" s="21"/>
      <c r="F77" s="21"/>
      <c r="G77" s="21"/>
      <c r="H77" s="21"/>
      <c r="I77" s="21"/>
      <c r="J77" s="21"/>
      <c r="K77" s="21"/>
      <c r="L77" s="21"/>
      <c r="M77" s="10"/>
      <c r="N77" s="21"/>
      <c r="O77" s="10"/>
      <c r="P77" s="9"/>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row>
    <row r="78" spans="1:63" ht="15">
      <c r="A78" s="67"/>
      <c r="C78" s="18" t="s">
        <v>175</v>
      </c>
      <c r="D78" s="169"/>
      <c r="E78" s="28"/>
      <c r="F78" s="21"/>
      <c r="G78" s="21"/>
      <c r="H78" s="28"/>
      <c r="I78" s="21"/>
      <c r="J78" s="28"/>
      <c r="K78" s="21"/>
      <c r="L78" s="34"/>
      <c r="M78" s="10"/>
      <c r="N78" s="15"/>
      <c r="O78" s="11"/>
      <c r="P78" s="9"/>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row>
    <row r="79" spans="1:63" ht="15">
      <c r="A79" s="67">
        <v>13</v>
      </c>
      <c r="C79" s="18" t="s">
        <v>176</v>
      </c>
      <c r="D79" s="21" t="s">
        <v>368</v>
      </c>
      <c r="E79" s="160">
        <f>4318215+12405+15647-212877</f>
        <v>4133390</v>
      </c>
      <c r="F79" s="21"/>
      <c r="G79" s="21" t="s">
        <v>149</v>
      </c>
      <c r="H79" s="36">
        <f>+H73</f>
        <v>0.05136150696490391</v>
      </c>
      <c r="I79" s="21"/>
      <c r="J79" s="21">
        <f>+H79*E79</f>
        <v>212297.13927366416</v>
      </c>
      <c r="K79" s="21"/>
      <c r="L79" s="34"/>
      <c r="M79" s="10"/>
      <c r="N79" s="15"/>
      <c r="O79" s="11"/>
      <c r="P79" s="9"/>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row>
    <row r="80" spans="1:63" ht="15">
      <c r="A80" s="67">
        <v>14</v>
      </c>
      <c r="C80" s="18" t="s">
        <v>177</v>
      </c>
      <c r="D80" s="21" t="str">
        <f>+D79</f>
        <v>263.i</v>
      </c>
      <c r="E80" s="91">
        <v>0</v>
      </c>
      <c r="F80" s="21"/>
      <c r="G80" s="21" t="str">
        <f>+G79</f>
        <v>W/S</v>
      </c>
      <c r="H80" s="36">
        <f>+H79</f>
        <v>0.05136150696490391</v>
      </c>
      <c r="I80" s="21"/>
      <c r="J80" s="21">
        <f>+H80*E80</f>
        <v>0</v>
      </c>
      <c r="K80" s="21"/>
      <c r="L80" s="34"/>
      <c r="M80" s="10"/>
      <c r="N80" s="15"/>
      <c r="O80" s="11"/>
      <c r="P80" s="9"/>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row>
    <row r="81" spans="1:63" ht="15">
      <c r="A81" s="67">
        <v>15</v>
      </c>
      <c r="C81" s="18" t="s">
        <v>178</v>
      </c>
      <c r="D81" s="21" t="s">
        <v>105</v>
      </c>
      <c r="E81" s="28"/>
      <c r="F81" s="21"/>
      <c r="G81" s="21"/>
      <c r="H81" s="28"/>
      <c r="I81" s="21"/>
      <c r="J81" s="28"/>
      <c r="K81" s="21"/>
      <c r="L81" s="34"/>
      <c r="M81" s="10"/>
      <c r="N81" s="15"/>
      <c r="O81" s="11"/>
      <c r="P81" s="9"/>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row>
    <row r="82" spans="1:63" ht="15">
      <c r="A82" s="67">
        <v>16</v>
      </c>
      <c r="C82" s="18" t="s">
        <v>761</v>
      </c>
      <c r="D82" s="21" t="s">
        <v>368</v>
      </c>
      <c r="E82" s="91">
        <f>49464523-230310</f>
        <v>49234213</v>
      </c>
      <c r="F82" s="375"/>
      <c r="G82" s="375" t="s">
        <v>762</v>
      </c>
      <c r="H82" s="36">
        <f>+H18</f>
        <v>0.13321271979004043</v>
      </c>
      <c r="I82" s="21"/>
      <c r="J82" s="21">
        <f>+H82*E82</f>
        <v>6558623.420452165</v>
      </c>
      <c r="K82" s="21"/>
      <c r="L82" s="34"/>
      <c r="M82" s="10"/>
      <c r="N82" s="15"/>
      <c r="O82" s="11"/>
      <c r="P82" s="9"/>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row>
    <row r="83" spans="1:63" ht="15">
      <c r="A83" s="67">
        <v>17</v>
      </c>
      <c r="C83" s="18" t="s">
        <v>179</v>
      </c>
      <c r="D83" s="21" t="s">
        <v>368</v>
      </c>
      <c r="E83" s="91">
        <v>0</v>
      </c>
      <c r="F83" s="21"/>
      <c r="G83" s="55" t="s">
        <v>145</v>
      </c>
      <c r="H83" s="127">
        <v>0</v>
      </c>
      <c r="I83" s="21"/>
      <c r="J83" s="21">
        <v>0</v>
      </c>
      <c r="K83" s="21"/>
      <c r="L83" s="34"/>
      <c r="M83" s="10"/>
      <c r="N83" s="15"/>
      <c r="O83" s="11"/>
      <c r="P83" s="9"/>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row>
    <row r="84" spans="1:63" ht="15">
      <c r="A84" s="67">
        <v>18</v>
      </c>
      <c r="C84" s="18" t="s">
        <v>355</v>
      </c>
      <c r="D84" s="21" t="str">
        <f>+D83</f>
        <v>263.i</v>
      </c>
      <c r="E84" s="91">
        <v>20210</v>
      </c>
      <c r="F84" s="21"/>
      <c r="G84" s="21" t="s">
        <v>162</v>
      </c>
      <c r="H84" s="36">
        <f>+H82</f>
        <v>0.13321271979004043</v>
      </c>
      <c r="I84" s="21"/>
      <c r="J84" s="21">
        <f>+H84*E84</f>
        <v>2692.229066956717</v>
      </c>
      <c r="K84" s="21"/>
      <c r="L84" s="34"/>
      <c r="M84" s="10"/>
      <c r="N84" s="15"/>
      <c r="O84" s="11"/>
      <c r="P84" s="9"/>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row>
    <row r="85" spans="1:63" ht="15" thickBot="1">
      <c r="A85" s="67">
        <v>19</v>
      </c>
      <c r="C85" s="18" t="s">
        <v>180</v>
      </c>
      <c r="D85" s="21"/>
      <c r="E85" s="92">
        <v>0</v>
      </c>
      <c r="F85" s="21"/>
      <c r="G85" s="21" t="s">
        <v>162</v>
      </c>
      <c r="H85" s="36">
        <f>+H82</f>
        <v>0.13321271979004043</v>
      </c>
      <c r="I85" s="21"/>
      <c r="J85" s="61">
        <f>+H85*E85</f>
        <v>0</v>
      </c>
      <c r="K85" s="21"/>
      <c r="L85" s="34"/>
      <c r="M85" s="10"/>
      <c r="N85" s="15"/>
      <c r="O85" s="11"/>
      <c r="P85" s="9"/>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row>
    <row r="86" spans="1:63" ht="15">
      <c r="A86" s="67">
        <v>20</v>
      </c>
      <c r="C86" s="18" t="s">
        <v>181</v>
      </c>
      <c r="D86" s="21"/>
      <c r="E86" s="21">
        <f>SUM(E79:E85)</f>
        <v>53387813</v>
      </c>
      <c r="F86" s="21"/>
      <c r="G86" s="21"/>
      <c r="H86" s="36"/>
      <c r="I86" s="21"/>
      <c r="J86" s="21">
        <f>SUM(J79:J85)</f>
        <v>6773612.788792786</v>
      </c>
      <c r="K86" s="21"/>
      <c r="L86" s="21"/>
      <c r="M86" s="10"/>
      <c r="N86" s="12"/>
      <c r="O86" s="10"/>
      <c r="P86" s="9"/>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row>
    <row r="87" spans="1:63" ht="15">
      <c r="A87" s="67"/>
      <c r="C87" s="18"/>
      <c r="D87" s="21"/>
      <c r="E87" s="21"/>
      <c r="F87" s="21"/>
      <c r="G87" s="21"/>
      <c r="H87" s="36"/>
      <c r="I87" s="21"/>
      <c r="J87" s="21"/>
      <c r="K87" s="21"/>
      <c r="L87" s="21"/>
      <c r="M87" s="10"/>
      <c r="N87" s="12"/>
      <c r="O87" s="10"/>
      <c r="P87" s="9"/>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row>
    <row r="88" spans="1:63" ht="15">
      <c r="A88" s="67" t="s">
        <v>182</v>
      </c>
      <c r="C88" s="18"/>
      <c r="D88" s="21"/>
      <c r="E88" s="21"/>
      <c r="F88" s="21"/>
      <c r="G88" s="21"/>
      <c r="H88" s="36"/>
      <c r="I88" s="21"/>
      <c r="J88" s="21"/>
      <c r="K88" s="21"/>
      <c r="L88" s="21"/>
      <c r="M88" s="10"/>
      <c r="N88" s="10"/>
      <c r="O88" s="10"/>
      <c r="P88" s="9"/>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row>
    <row r="89" spans="1:63" ht="15">
      <c r="A89" s="67" t="s">
        <v>105</v>
      </c>
      <c r="C89" s="18" t="s">
        <v>183</v>
      </c>
      <c r="D89" s="21" t="s">
        <v>825</v>
      </c>
      <c r="E89" s="21"/>
      <c r="F89" s="21"/>
      <c r="H89" s="32"/>
      <c r="I89" s="21"/>
      <c r="K89" s="21"/>
      <c r="L89" s="28"/>
      <c r="M89" s="10"/>
      <c r="N89" s="10"/>
      <c r="O89" s="11"/>
      <c r="P89" s="10" t="s">
        <v>105</v>
      </c>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row>
    <row r="90" spans="1:63" ht="15">
      <c r="A90" s="67">
        <v>21</v>
      </c>
      <c r="C90" s="47" t="s">
        <v>258</v>
      </c>
      <c r="D90" s="21"/>
      <c r="E90" s="96">
        <f>IF(E202&gt;0,1-(((1-E203)*(1-E202))/(1-E203*E202*E204)),0)</f>
        <v>0.397775</v>
      </c>
      <c r="F90" s="21"/>
      <c r="H90" s="32"/>
      <c r="I90" s="21"/>
      <c r="K90" s="21"/>
      <c r="L90" s="28"/>
      <c r="M90" s="10"/>
      <c r="N90" s="10"/>
      <c r="O90" s="11"/>
      <c r="P90" s="10"/>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row>
    <row r="91" spans="1:63" ht="15">
      <c r="A91" s="67">
        <v>22</v>
      </c>
      <c r="C91" t="s">
        <v>259</v>
      </c>
      <c r="D91" s="21"/>
      <c r="E91" s="96">
        <f>IF(J169&gt;0,(E90/(1-E90))*(1-J166/J169),0)</f>
        <v>0.4331964503045176</v>
      </c>
      <c r="F91" s="21"/>
      <c r="H91" s="32"/>
      <c r="I91" s="21"/>
      <c r="K91" s="21"/>
      <c r="L91" s="28"/>
      <c r="M91" s="10"/>
      <c r="N91" s="10"/>
      <c r="O91" s="11"/>
      <c r="P91" s="10"/>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row>
    <row r="92" spans="1:63" ht="15">
      <c r="A92" s="67"/>
      <c r="C92" s="18" t="s">
        <v>777</v>
      </c>
      <c r="D92" s="21"/>
      <c r="E92" s="21"/>
      <c r="F92" s="21"/>
      <c r="H92" s="32"/>
      <c r="I92" s="21"/>
      <c r="K92" s="21"/>
      <c r="L92" s="28"/>
      <c r="M92" s="10"/>
      <c r="N92" s="10"/>
      <c r="O92" s="11"/>
      <c r="P92" s="10"/>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row>
    <row r="93" spans="1:63" ht="15">
      <c r="A93" s="67"/>
      <c r="C93" s="18" t="s">
        <v>826</v>
      </c>
      <c r="D93" s="21"/>
      <c r="E93" s="21"/>
      <c r="F93" s="21"/>
      <c r="H93" s="32"/>
      <c r="I93" s="21"/>
      <c r="K93" s="21"/>
      <c r="L93" s="28"/>
      <c r="M93" s="10"/>
      <c r="N93" s="10"/>
      <c r="O93" s="11"/>
      <c r="P93" s="10"/>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row>
    <row r="94" spans="1:63" ht="15">
      <c r="A94" s="67">
        <v>23</v>
      </c>
      <c r="C94" s="47" t="s">
        <v>261</v>
      </c>
      <c r="D94" s="167"/>
      <c r="E94" s="97">
        <f>IF(E90&gt;0,1/(1-E90),0)</f>
        <v>1.6605089459919464</v>
      </c>
      <c r="F94" s="21"/>
      <c r="H94" s="32"/>
      <c r="I94" s="21"/>
      <c r="K94" s="21"/>
      <c r="L94" s="28"/>
      <c r="M94" s="10"/>
      <c r="N94" s="10"/>
      <c r="O94" s="11"/>
      <c r="P94" s="10"/>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row>
    <row r="95" spans="1:63" ht="15">
      <c r="A95" s="67">
        <v>24</v>
      </c>
      <c r="C95" s="18" t="s">
        <v>260</v>
      </c>
      <c r="D95" s="21"/>
      <c r="E95" s="91">
        <v>-2532277</v>
      </c>
      <c r="F95" s="21"/>
      <c r="H95" s="32"/>
      <c r="I95" s="21"/>
      <c r="K95" s="21"/>
      <c r="L95" s="28"/>
      <c r="M95" s="10"/>
      <c r="N95" s="2"/>
      <c r="O95" s="11"/>
      <c r="P95" s="10"/>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row>
    <row r="96" spans="1:63" ht="15">
      <c r="A96" s="67"/>
      <c r="C96" s="18"/>
      <c r="D96" s="21"/>
      <c r="E96" s="21"/>
      <c r="F96" s="21"/>
      <c r="H96" s="32"/>
      <c r="I96" s="21"/>
      <c r="K96" s="21"/>
      <c r="L96" s="28"/>
      <c r="M96" s="10"/>
      <c r="N96" s="10"/>
      <c r="O96" s="11"/>
      <c r="P96" s="10"/>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row>
    <row r="97" spans="1:63" ht="15">
      <c r="A97" s="67">
        <v>25</v>
      </c>
      <c r="C97" s="47" t="s">
        <v>262</v>
      </c>
      <c r="D97" s="66"/>
      <c r="E97" s="21">
        <f>E91*E101</f>
        <v>47668155.44731874</v>
      </c>
      <c r="F97" s="21"/>
      <c r="G97" s="21" t="s">
        <v>145</v>
      </c>
      <c r="H97" s="36"/>
      <c r="I97" s="21"/>
      <c r="J97" s="21">
        <f>E91*J101</f>
        <v>6792719.414592564</v>
      </c>
      <c r="K97" s="21"/>
      <c r="L97" s="31" t="s">
        <v>105</v>
      </c>
      <c r="M97" s="10"/>
      <c r="N97" s="10"/>
      <c r="O97" s="10"/>
      <c r="P97" s="9"/>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row>
    <row r="98" spans="1:63" ht="15" thickBot="1">
      <c r="A98" s="67">
        <v>26</v>
      </c>
      <c r="C98" t="s">
        <v>264</v>
      </c>
      <c r="D98" s="66"/>
      <c r="E98" s="61">
        <f>E94*E95</f>
        <v>-4204868.612229648</v>
      </c>
      <c r="F98" s="21"/>
      <c r="G98" t="s">
        <v>159</v>
      </c>
      <c r="H98" s="36">
        <f>H34</f>
        <v>0.1405875088864028</v>
      </c>
      <c r="I98" s="21"/>
      <c r="J98" s="61">
        <f>H98*E98</f>
        <v>-591152.0033879919</v>
      </c>
      <c r="K98" s="21"/>
      <c r="L98" s="31"/>
      <c r="M98" s="10"/>
      <c r="N98" s="10"/>
      <c r="O98" s="10"/>
      <c r="P98" s="9"/>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row>
    <row r="99" spans="1:63" ht="15">
      <c r="A99" s="67">
        <v>27</v>
      </c>
      <c r="C99" s="53" t="s">
        <v>246</v>
      </c>
      <c r="D99" t="s">
        <v>265</v>
      </c>
      <c r="E99" s="95">
        <f>+E97+E98</f>
        <v>43463286.835089095</v>
      </c>
      <c r="F99" s="21"/>
      <c r="G99" s="21" t="s">
        <v>105</v>
      </c>
      <c r="H99" s="36" t="s">
        <v>105</v>
      </c>
      <c r="I99" s="21"/>
      <c r="J99" s="95">
        <f>+J97+J98</f>
        <v>6201567.411204572</v>
      </c>
      <c r="K99" s="21"/>
      <c r="L99" s="21"/>
      <c r="M99" s="10"/>
      <c r="N99" s="10"/>
      <c r="O99" s="10"/>
      <c r="P99" s="9"/>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row>
    <row r="100" spans="1:63" ht="15">
      <c r="A100" s="67" t="s">
        <v>105</v>
      </c>
      <c r="D100" s="37"/>
      <c r="E100" s="21"/>
      <c r="F100" s="21"/>
      <c r="G100" s="21"/>
      <c r="H100" s="36"/>
      <c r="I100" s="21"/>
      <c r="J100" s="21"/>
      <c r="K100" s="21"/>
      <c r="L100" s="21"/>
      <c r="M100" s="10"/>
      <c r="N100" s="10"/>
      <c r="O100" s="10"/>
      <c r="P100" s="9"/>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row>
    <row r="101" spans="1:63" ht="15">
      <c r="A101" s="67">
        <v>28</v>
      </c>
      <c r="C101" s="18" t="s">
        <v>184</v>
      </c>
      <c r="D101" s="34"/>
      <c r="E101" s="21">
        <f>+$J169*E48</f>
        <v>110038194.94321842</v>
      </c>
      <c r="F101" s="21"/>
      <c r="G101" s="21" t="s">
        <v>145</v>
      </c>
      <c r="H101" s="32"/>
      <c r="I101" s="21"/>
      <c r="J101" s="21">
        <f>+$J169*J48</f>
        <v>15680459.546281112</v>
      </c>
      <c r="K101" s="21"/>
      <c r="L101" s="28"/>
      <c r="M101" s="10"/>
      <c r="N101" s="10"/>
      <c r="O101" s="11"/>
      <c r="P101" s="10" t="s">
        <v>105</v>
      </c>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row>
    <row r="102" spans="1:63" ht="15">
      <c r="A102" s="67"/>
      <c r="C102" s="53" t="s">
        <v>746</v>
      </c>
      <c r="D102" s="28"/>
      <c r="E102" s="21"/>
      <c r="F102" s="21"/>
      <c r="G102" s="21"/>
      <c r="H102" s="32"/>
      <c r="I102" s="21"/>
      <c r="J102" s="21"/>
      <c r="K102" s="21"/>
      <c r="L102" s="34"/>
      <c r="M102" s="10"/>
      <c r="N102" s="10"/>
      <c r="O102" s="11"/>
      <c r="P102" s="10"/>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row>
    <row r="103" spans="1:63" ht="15">
      <c r="A103" s="67"/>
      <c r="C103" s="53"/>
      <c r="D103" s="28"/>
      <c r="E103" s="21"/>
      <c r="F103" s="21"/>
      <c r="G103" s="21"/>
      <c r="H103" s="32"/>
      <c r="I103" s="21"/>
      <c r="J103" s="21"/>
      <c r="K103" s="21"/>
      <c r="L103" s="34"/>
      <c r="M103" s="10"/>
      <c r="N103" s="10"/>
      <c r="O103" s="11"/>
      <c r="P103" s="10"/>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row>
    <row r="104" spans="1:63" ht="15">
      <c r="A104" s="67">
        <v>29</v>
      </c>
      <c r="C104" s="53" t="s">
        <v>654</v>
      </c>
      <c r="D104" s="21" t="s">
        <v>105</v>
      </c>
      <c r="E104" s="55">
        <v>0</v>
      </c>
      <c r="F104" s="55"/>
      <c r="G104" s="55" t="s">
        <v>652</v>
      </c>
      <c r="H104" s="127">
        <v>1</v>
      </c>
      <c r="I104" s="55"/>
      <c r="J104" s="55">
        <f>+H104*E104</f>
        <v>0</v>
      </c>
      <c r="K104" s="21"/>
      <c r="L104" s="34"/>
      <c r="M104" s="10"/>
      <c r="N104" s="10"/>
      <c r="O104" s="11"/>
      <c r="P104" s="10"/>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row>
    <row r="105" spans="1:63" ht="15" thickBot="1">
      <c r="A105" s="67"/>
      <c r="C105" s="18"/>
      <c r="D105" s="28"/>
      <c r="E105" s="61"/>
      <c r="F105" s="21"/>
      <c r="G105" s="21"/>
      <c r="H105" s="32"/>
      <c r="I105" s="21"/>
      <c r="J105" s="61"/>
      <c r="K105" s="21"/>
      <c r="L105" s="34"/>
      <c r="M105" s="10"/>
      <c r="N105" s="10"/>
      <c r="O105" s="11"/>
      <c r="P105" s="10"/>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row>
    <row r="106" spans="1:63" ht="15" thickBot="1">
      <c r="A106" s="67">
        <v>30</v>
      </c>
      <c r="C106" s="18" t="s">
        <v>655</v>
      </c>
      <c r="D106" s="21"/>
      <c r="E106" s="74">
        <f>+E101+E99+E86+E75+E69+E104</f>
        <v>322638042.8283075</v>
      </c>
      <c r="F106" s="21"/>
      <c r="G106" s="21"/>
      <c r="H106" s="21"/>
      <c r="I106" s="21"/>
      <c r="J106" s="74">
        <f>+J101+J99+J86+J75+J69+J104</f>
        <v>77134115.9726485</v>
      </c>
      <c r="K106" s="16"/>
      <c r="L106" s="16"/>
      <c r="M106" s="7"/>
      <c r="N106" s="7"/>
      <c r="O106" s="7"/>
      <c r="P106" s="9"/>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row>
    <row r="107" spans="1:63" ht="15" thickTop="1">
      <c r="A107" s="67"/>
      <c r="C107" s="18"/>
      <c r="D107" s="513" t="str">
        <f>+D1</f>
        <v>     Rate Formula Template</v>
      </c>
      <c r="E107" s="513"/>
      <c r="F107" s="513"/>
      <c r="G107" s="28"/>
      <c r="J107" s="172" t="str">
        <f>+J1:J1</f>
        <v> </v>
      </c>
      <c r="K107" s="21"/>
      <c r="L107" s="21"/>
      <c r="M107" s="10"/>
      <c r="N107" s="10"/>
      <c r="O107" s="10"/>
      <c r="P107" s="9"/>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row>
    <row r="108" spans="1:63" ht="15">
      <c r="A108" s="67"/>
      <c r="C108" s="18"/>
      <c r="D108" s="513" t="str">
        <f>+D2</f>
        <v> Utilizing FERC Form 1 Data</v>
      </c>
      <c r="E108" s="510"/>
      <c r="F108" s="510"/>
      <c r="G108" s="28"/>
      <c r="H108" s="28"/>
      <c r="J108" s="172" t="str">
        <f>+J2</f>
        <v>Schedule WEN</v>
      </c>
      <c r="K108" s="21"/>
      <c r="L108" s="21"/>
      <c r="M108" s="10"/>
      <c r="N108" s="10"/>
      <c r="O108" s="10"/>
      <c r="P108" s="9"/>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row>
    <row r="109" spans="1:63" ht="15">
      <c r="A109" s="67"/>
      <c r="C109" s="28"/>
      <c r="D109" s="513" t="str">
        <f>+D3</f>
        <v>For the 12 months ended 12/31/05</v>
      </c>
      <c r="E109" s="510"/>
      <c r="F109" s="510"/>
      <c r="G109" s="28"/>
      <c r="H109" s="28"/>
      <c r="I109" s="28"/>
      <c r="J109" s="379" t="s">
        <v>87</v>
      </c>
      <c r="K109" s="21"/>
      <c r="L109" s="21"/>
      <c r="M109" s="10"/>
      <c r="N109" s="10"/>
      <c r="O109" s="10"/>
      <c r="P109" s="9"/>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row>
    <row r="110" spans="1:63" ht="15">
      <c r="A110" s="67"/>
      <c r="C110" s="28"/>
      <c r="D110" s="28"/>
      <c r="E110" s="35"/>
      <c r="F110" s="28"/>
      <c r="G110" s="28"/>
      <c r="H110" s="28"/>
      <c r="I110" s="28"/>
      <c r="K110" s="21"/>
      <c r="L110" s="21"/>
      <c r="M110" s="10"/>
      <c r="N110" s="10"/>
      <c r="O110" s="10"/>
      <c r="P110" s="9"/>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row>
    <row r="111" spans="1:63" ht="15">
      <c r="A111" s="67"/>
      <c r="D111" s="513" t="str">
        <f>+D5</f>
        <v>WESTAR ENERGY, INC.</v>
      </c>
      <c r="E111" s="510"/>
      <c r="F111" s="510"/>
      <c r="G111" s="28"/>
      <c r="H111" s="28"/>
      <c r="I111" s="28"/>
      <c r="K111" s="21"/>
      <c r="L111" s="21"/>
      <c r="M111" s="10"/>
      <c r="N111" s="10"/>
      <c r="O111" s="10"/>
      <c r="P111" s="9"/>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row>
    <row r="112" spans="1:63" ht="15">
      <c r="A112" s="67"/>
      <c r="D112" s="513" t="str">
        <f>+D6</f>
        <v>(WEN)</v>
      </c>
      <c r="E112" s="510"/>
      <c r="F112" s="510"/>
      <c r="G112" s="18"/>
      <c r="H112" s="18"/>
      <c r="I112" s="18"/>
      <c r="J112" s="18"/>
      <c r="K112" s="18"/>
      <c r="L112" s="18"/>
      <c r="M112" s="9"/>
      <c r="N112" s="9"/>
      <c r="O112" s="9"/>
      <c r="P112" s="9"/>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row>
    <row r="113" spans="1:63" ht="15">
      <c r="A113" s="67"/>
      <c r="D113" s="18"/>
      <c r="E113" s="35"/>
      <c r="F113" s="18"/>
      <c r="G113" s="18"/>
      <c r="H113" s="18"/>
      <c r="I113" s="18"/>
      <c r="J113" s="18"/>
      <c r="K113" s="18"/>
      <c r="L113" s="18"/>
      <c r="M113" s="9"/>
      <c r="N113" s="9"/>
      <c r="O113" s="9"/>
      <c r="P113" s="9"/>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row>
    <row r="114" spans="1:63" ht="15">
      <c r="A114" s="67"/>
      <c r="C114" s="28"/>
      <c r="D114" s="515" t="s">
        <v>76</v>
      </c>
      <c r="E114" s="516"/>
      <c r="F114" s="516"/>
      <c r="G114" s="166"/>
      <c r="H114" s="16"/>
      <c r="I114" s="16"/>
      <c r="J114" s="16"/>
      <c r="K114" s="21"/>
      <c r="L114" s="21"/>
      <c r="M114" s="10"/>
      <c r="N114" s="7"/>
      <c r="O114" s="10"/>
      <c r="P114" s="9"/>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row>
    <row r="115" spans="1:63" ht="15">
      <c r="A115" s="67" t="s">
        <v>106</v>
      </c>
      <c r="C115" s="29"/>
      <c r="D115" s="16"/>
      <c r="E115" s="16"/>
      <c r="F115" s="16"/>
      <c r="G115" s="16"/>
      <c r="H115" s="16"/>
      <c r="I115" s="16"/>
      <c r="J115" s="16"/>
      <c r="K115" s="21"/>
      <c r="L115" s="21"/>
      <c r="M115" s="10"/>
      <c r="N115" s="7"/>
      <c r="O115" s="10"/>
      <c r="P115" s="9"/>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row>
    <row r="116" spans="1:63" ht="15" thickBot="1">
      <c r="A116" s="68" t="s">
        <v>110</v>
      </c>
      <c r="C116" s="109" t="s">
        <v>331</v>
      </c>
      <c r="D116" s="110"/>
      <c r="E116" s="110"/>
      <c r="F116" s="110"/>
      <c r="G116" s="110"/>
      <c r="H116" s="110"/>
      <c r="I116" s="111"/>
      <c r="J116" s="111"/>
      <c r="K116" s="21"/>
      <c r="L116" s="21"/>
      <c r="M116" s="10"/>
      <c r="N116" s="7"/>
      <c r="O116" s="10"/>
      <c r="P116" s="9"/>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row>
    <row r="117" spans="1:63" ht="15">
      <c r="A117" s="67"/>
      <c r="C117" s="109"/>
      <c r="D117" s="110"/>
      <c r="E117" s="110"/>
      <c r="F117" s="110"/>
      <c r="G117" s="110"/>
      <c r="H117" s="110"/>
      <c r="I117" s="110"/>
      <c r="J117" s="110"/>
      <c r="K117" s="21"/>
      <c r="L117" s="21"/>
      <c r="M117" s="10"/>
      <c r="N117" s="7"/>
      <c r="O117" s="10"/>
      <c r="P117" s="9"/>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row>
    <row r="118" spans="1:63" ht="15">
      <c r="A118" s="67">
        <v>1</v>
      </c>
      <c r="C118" s="94" t="s">
        <v>743</v>
      </c>
      <c r="D118" s="110"/>
      <c r="E118" s="55"/>
      <c r="F118" s="55"/>
      <c r="G118" s="55"/>
      <c r="H118" s="55"/>
      <c r="I118" s="55"/>
      <c r="J118" s="91">
        <f>E14</f>
        <v>344580341</v>
      </c>
      <c r="K118" s="21"/>
      <c r="L118" s="21"/>
      <c r="M118" s="10"/>
      <c r="N118" s="7"/>
      <c r="O118" s="10"/>
      <c r="P118" s="9"/>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row>
    <row r="119" spans="1:63" ht="15">
      <c r="A119" s="67">
        <v>2</v>
      </c>
      <c r="C119" s="94" t="s">
        <v>827</v>
      </c>
      <c r="D119" s="112"/>
      <c r="E119" s="112"/>
      <c r="F119" s="112"/>
      <c r="G119" s="112"/>
      <c r="H119" s="112"/>
      <c r="I119" s="112"/>
      <c r="J119" s="91">
        <v>0</v>
      </c>
      <c r="K119" s="21"/>
      <c r="L119" s="21"/>
      <c r="M119" s="10"/>
      <c r="N119" s="7"/>
      <c r="O119" s="10"/>
      <c r="P119" s="9"/>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row>
    <row r="120" spans="1:63" ht="15" thickBot="1">
      <c r="A120" s="67">
        <v>3</v>
      </c>
      <c r="C120" s="113" t="s">
        <v>828</v>
      </c>
      <c r="D120" s="114"/>
      <c r="E120" s="115"/>
      <c r="F120" s="115"/>
      <c r="G120" s="55"/>
      <c r="H120" s="116"/>
      <c r="I120" s="55"/>
      <c r="J120" s="92">
        <v>53964</v>
      </c>
      <c r="K120" s="21"/>
      <c r="L120" s="21"/>
      <c r="M120" s="10"/>
      <c r="N120" s="7"/>
      <c r="O120" s="10"/>
      <c r="P120" s="9"/>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row>
    <row r="121" spans="1:63" ht="15">
      <c r="A121" s="67">
        <v>4</v>
      </c>
      <c r="C121" s="94" t="s">
        <v>754</v>
      </c>
      <c r="D121" s="110"/>
      <c r="E121" s="55"/>
      <c r="F121" s="55"/>
      <c r="G121" s="55"/>
      <c r="H121" s="116"/>
      <c r="I121" s="55"/>
      <c r="J121" s="55">
        <f>J118-J119-J120</f>
        <v>344526377</v>
      </c>
      <c r="K121" s="21"/>
      <c r="L121" s="21"/>
      <c r="M121" s="10"/>
      <c r="N121" s="7"/>
      <c r="O121" s="10"/>
      <c r="P121" s="9"/>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row>
    <row r="122" spans="1:63" ht="15">
      <c r="A122" s="67"/>
      <c r="C122" s="112"/>
      <c r="D122" s="110"/>
      <c r="E122" s="55"/>
      <c r="F122" s="55"/>
      <c r="G122" s="55"/>
      <c r="H122" s="116"/>
      <c r="I122" s="55"/>
      <c r="J122" s="111"/>
      <c r="K122" s="21"/>
      <c r="L122" s="21"/>
      <c r="M122" s="10"/>
      <c r="N122" s="7"/>
      <c r="O122" s="10"/>
      <c r="P122" s="9"/>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row>
    <row r="123" spans="1:63" ht="15">
      <c r="A123" s="67">
        <v>5</v>
      </c>
      <c r="C123" s="94" t="s">
        <v>778</v>
      </c>
      <c r="D123" s="117"/>
      <c r="E123" s="118"/>
      <c r="F123" s="118"/>
      <c r="G123" s="118"/>
      <c r="H123" s="119"/>
      <c r="I123" s="55" t="s">
        <v>188</v>
      </c>
      <c r="J123" s="392">
        <f>IF(J118&gt;0,J121/J118,0)</f>
        <v>0.9998433921104048</v>
      </c>
      <c r="K123" s="21"/>
      <c r="L123" s="21"/>
      <c r="M123" s="10"/>
      <c r="N123" s="7"/>
      <c r="O123" s="10"/>
      <c r="P123" s="9"/>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row>
    <row r="124" spans="1:63" ht="15">
      <c r="A124" s="67"/>
      <c r="C124" s="111"/>
      <c r="D124" s="111"/>
      <c r="E124" s="111"/>
      <c r="F124" s="111"/>
      <c r="G124" s="111"/>
      <c r="H124" s="111"/>
      <c r="I124" s="111"/>
      <c r="J124" s="111"/>
      <c r="K124" s="21"/>
      <c r="L124" s="21"/>
      <c r="M124" s="10"/>
      <c r="N124" s="7"/>
      <c r="O124" s="10"/>
      <c r="P124" s="9"/>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row>
    <row r="125" spans="1:63" ht="15">
      <c r="A125" s="67"/>
      <c r="C125" s="120"/>
      <c r="D125" s="110"/>
      <c r="E125" s="110"/>
      <c r="F125" s="110"/>
      <c r="G125" s="110"/>
      <c r="H125" s="110"/>
      <c r="I125" s="110"/>
      <c r="J125" s="110"/>
      <c r="K125" s="21"/>
      <c r="L125" s="21"/>
      <c r="M125" s="10"/>
      <c r="N125" s="7"/>
      <c r="O125" s="10"/>
      <c r="P125" s="9"/>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row>
    <row r="126" spans="1:63" ht="15">
      <c r="A126" s="67"/>
      <c r="C126" s="121" t="s">
        <v>185</v>
      </c>
      <c r="D126" s="111"/>
      <c r="E126" s="111"/>
      <c r="F126" s="111"/>
      <c r="G126" s="111"/>
      <c r="H126" s="111"/>
      <c r="I126" s="111"/>
      <c r="J126" s="111"/>
      <c r="K126" s="21"/>
      <c r="L126" s="21"/>
      <c r="M126" s="10"/>
      <c r="N126" s="7"/>
      <c r="O126" s="10"/>
      <c r="P126" s="9"/>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row>
    <row r="127" spans="1:63" ht="15">
      <c r="A127" s="67"/>
      <c r="C127" s="111"/>
      <c r="D127" s="111"/>
      <c r="E127" s="111"/>
      <c r="F127" s="111"/>
      <c r="G127" s="111"/>
      <c r="H127" s="111"/>
      <c r="I127" s="111"/>
      <c r="J127" s="111"/>
      <c r="K127" s="21"/>
      <c r="L127" s="21"/>
      <c r="M127" s="10"/>
      <c r="N127" s="7"/>
      <c r="O127" s="10"/>
      <c r="P127" s="9"/>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row>
    <row r="128" spans="1:63" ht="15">
      <c r="A128" s="67">
        <v>6</v>
      </c>
      <c r="C128" s="112" t="s">
        <v>755</v>
      </c>
      <c r="D128" s="112"/>
      <c r="E128" s="110"/>
      <c r="F128" s="110"/>
      <c r="G128" s="110"/>
      <c r="H128" s="122"/>
      <c r="I128" s="110"/>
      <c r="J128" s="91">
        <f>+E61</f>
        <v>43539416.25</v>
      </c>
      <c r="K128" s="21"/>
      <c r="L128" s="21"/>
      <c r="M128" s="10"/>
      <c r="N128" s="10"/>
      <c r="O128" s="10"/>
      <c r="P128" s="9"/>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row>
    <row r="129" spans="1:63" ht="15" thickBot="1">
      <c r="A129" s="67">
        <v>7</v>
      </c>
      <c r="C129" s="113" t="s">
        <v>829</v>
      </c>
      <c r="D129" s="114"/>
      <c r="E129" s="115"/>
      <c r="F129" s="115"/>
      <c r="G129" s="55"/>
      <c r="H129" s="55"/>
      <c r="I129" s="55"/>
      <c r="J129" s="92">
        <v>406148</v>
      </c>
      <c r="K129" s="21"/>
      <c r="L129" s="21"/>
      <c r="M129" s="10"/>
      <c r="N129" s="10"/>
      <c r="O129" s="10"/>
      <c r="P129" s="9"/>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row>
    <row r="130" spans="1:63" ht="15">
      <c r="A130" s="67">
        <v>8</v>
      </c>
      <c r="C130" s="94" t="s">
        <v>756</v>
      </c>
      <c r="D130" s="117"/>
      <c r="E130" s="118"/>
      <c r="F130" s="118"/>
      <c r="G130" s="118"/>
      <c r="H130" s="119"/>
      <c r="I130" s="118"/>
      <c r="J130" s="55">
        <f>+J128-J129</f>
        <v>43133268.25</v>
      </c>
      <c r="K130" s="28"/>
      <c r="L130" s="28"/>
      <c r="M130" s="10"/>
      <c r="N130" s="10"/>
      <c r="O130" s="10"/>
      <c r="P130" s="9"/>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row>
    <row r="131" spans="1:63" ht="15">
      <c r="A131" s="67"/>
      <c r="C131" s="94"/>
      <c r="D131" s="110"/>
      <c r="E131" s="55"/>
      <c r="F131" s="55"/>
      <c r="G131" s="55"/>
      <c r="H131" s="55"/>
      <c r="I131" s="112"/>
      <c r="J131" s="111"/>
      <c r="K131" s="28"/>
      <c r="L131" s="28"/>
      <c r="M131" s="10"/>
      <c r="N131" s="10"/>
      <c r="O131" s="10"/>
      <c r="P131" s="9"/>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row>
    <row r="132" spans="1:63" ht="15">
      <c r="A132" s="67">
        <v>9</v>
      </c>
      <c r="C132" s="94" t="s">
        <v>757</v>
      </c>
      <c r="D132" s="110"/>
      <c r="E132" s="55"/>
      <c r="F132" s="55"/>
      <c r="G132" s="55"/>
      <c r="H132" s="55"/>
      <c r="I132" s="55"/>
      <c r="J132" s="123">
        <f>IF(J128&gt;0,J130/J128,0)</f>
        <v>0.9906717169181155</v>
      </c>
      <c r="K132" s="28"/>
      <c r="L132" s="28"/>
      <c r="M132" s="10"/>
      <c r="N132" s="10"/>
      <c r="O132" s="10"/>
      <c r="P132" s="9"/>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row>
    <row r="133" spans="1:63" ht="15">
      <c r="A133" s="67">
        <v>10</v>
      </c>
      <c r="C133" s="94" t="s">
        <v>758</v>
      </c>
      <c r="D133" s="110"/>
      <c r="E133" s="55"/>
      <c r="F133" s="55"/>
      <c r="G133" s="55"/>
      <c r="H133" s="55"/>
      <c r="I133" s="110" t="s">
        <v>188</v>
      </c>
      <c r="J133" s="124">
        <f>J123</f>
        <v>0.9998433921104048</v>
      </c>
      <c r="K133" s="28"/>
      <c r="L133" s="28"/>
      <c r="M133" s="10"/>
      <c r="N133" s="10"/>
      <c r="O133" s="10"/>
      <c r="P133" s="9"/>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row>
    <row r="134" spans="1:63" ht="15">
      <c r="A134" s="67">
        <v>11</v>
      </c>
      <c r="C134" s="94" t="s">
        <v>28</v>
      </c>
      <c r="D134" s="110"/>
      <c r="E134" s="110"/>
      <c r="F134" s="110"/>
      <c r="G134" s="110"/>
      <c r="H134" s="110"/>
      <c r="I134" s="110" t="s">
        <v>187</v>
      </c>
      <c r="J134" s="393">
        <f>+J133*J132</f>
        <v>0.9905165699112474</v>
      </c>
      <c r="K134" s="28"/>
      <c r="L134" s="28"/>
      <c r="M134" s="10"/>
      <c r="N134" s="10"/>
      <c r="O134" s="10"/>
      <c r="P134" s="9"/>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row>
    <row r="135" spans="1:63" ht="15">
      <c r="A135" s="67"/>
      <c r="K135" s="28"/>
      <c r="L135" s="28"/>
      <c r="M135" s="10"/>
      <c r="N135" s="10"/>
      <c r="O135" s="10"/>
      <c r="P135" s="9"/>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row>
    <row r="136" spans="1:63" ht="15">
      <c r="A136" s="67"/>
      <c r="C136" s="28"/>
      <c r="D136" s="16"/>
      <c r="E136" s="21"/>
      <c r="F136" s="21"/>
      <c r="G136" s="21"/>
      <c r="H136" s="22"/>
      <c r="I136" s="21"/>
      <c r="K136" s="28"/>
      <c r="L136" s="28"/>
      <c r="M136" s="10"/>
      <c r="N136" s="10"/>
      <c r="O136" s="10"/>
      <c r="P136" s="9"/>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row>
    <row r="137" spans="1:63" ht="15">
      <c r="A137" s="67" t="s">
        <v>105</v>
      </c>
      <c r="C137" s="18" t="s">
        <v>189</v>
      </c>
      <c r="D137" s="21"/>
      <c r="E137" s="167"/>
      <c r="F137" s="21"/>
      <c r="G137" s="21"/>
      <c r="H137" s="21"/>
      <c r="I137" s="21"/>
      <c r="J137" s="21"/>
      <c r="K137" s="21"/>
      <c r="L137" s="21"/>
      <c r="M137" s="10"/>
      <c r="N137" s="10"/>
      <c r="O137" s="10"/>
      <c r="P137" s="9"/>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row>
    <row r="138" spans="1:63" ht="15" thickBot="1">
      <c r="A138" s="67" t="s">
        <v>105</v>
      </c>
      <c r="C138" s="18"/>
      <c r="D138" s="61" t="s">
        <v>190</v>
      </c>
      <c r="E138" s="62" t="s">
        <v>191</v>
      </c>
      <c r="F138" s="62" t="s">
        <v>115</v>
      </c>
      <c r="G138" s="21"/>
      <c r="H138" s="62" t="s">
        <v>192</v>
      </c>
      <c r="I138" s="21"/>
      <c r="J138" s="21"/>
      <c r="K138" s="21"/>
      <c r="L138" s="21"/>
      <c r="M138" s="10"/>
      <c r="N138" s="10"/>
      <c r="O138" s="10"/>
      <c r="P138" s="9"/>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row>
    <row r="139" spans="1:63" ht="15">
      <c r="A139" s="67">
        <v>12</v>
      </c>
      <c r="C139" s="18" t="s">
        <v>144</v>
      </c>
      <c r="D139" s="21" t="s">
        <v>193</v>
      </c>
      <c r="E139" s="91">
        <v>25171335</v>
      </c>
      <c r="F139" s="36">
        <v>0</v>
      </c>
      <c r="G139" s="39"/>
      <c r="H139" s="21">
        <f>E139*F139</f>
        <v>0</v>
      </c>
      <c r="I139" s="21"/>
      <c r="J139" s="21"/>
      <c r="K139" s="21"/>
      <c r="L139" s="21"/>
      <c r="M139" s="10"/>
      <c r="N139" s="10"/>
      <c r="O139" s="10"/>
      <c r="P139" s="9"/>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row>
    <row r="140" spans="1:63" ht="15">
      <c r="A140" s="67">
        <v>13</v>
      </c>
      <c r="C140" s="18" t="s">
        <v>146</v>
      </c>
      <c r="D140" s="21" t="s">
        <v>194</v>
      </c>
      <c r="E140" s="91">
        <v>2419163</v>
      </c>
      <c r="F140" s="36">
        <f>+J123</f>
        <v>0.9998433921104048</v>
      </c>
      <c r="G140" s="39"/>
      <c r="H140" s="21">
        <f>E140*F140</f>
        <v>2418784.1399879833</v>
      </c>
      <c r="I140" s="21"/>
      <c r="J140" s="21"/>
      <c r="K140" s="21"/>
      <c r="L140" s="21"/>
      <c r="M140" s="7"/>
      <c r="N140" s="10"/>
      <c r="O140" s="10"/>
      <c r="P140" s="9"/>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row>
    <row r="141" spans="1:63" ht="15">
      <c r="A141" s="67">
        <v>14</v>
      </c>
      <c r="C141" s="18" t="s">
        <v>147</v>
      </c>
      <c r="D141" s="21" t="s">
        <v>195</v>
      </c>
      <c r="E141" s="91">
        <v>12964632</v>
      </c>
      <c r="F141" s="36">
        <v>0</v>
      </c>
      <c r="G141" s="39"/>
      <c r="H141" s="21">
        <f>E141*F141</f>
        <v>0</v>
      </c>
      <c r="I141" s="21"/>
      <c r="J141" s="63" t="s">
        <v>196</v>
      </c>
      <c r="K141" s="21"/>
      <c r="L141" s="21"/>
      <c r="M141" s="10"/>
      <c r="N141" s="10"/>
      <c r="O141" s="10"/>
      <c r="P141" s="9"/>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row>
    <row r="142" spans="1:63" ht="15" thickBot="1">
      <c r="A142" s="67">
        <v>15</v>
      </c>
      <c r="C142" s="18" t="s">
        <v>197</v>
      </c>
      <c r="D142" s="21" t="s">
        <v>198</v>
      </c>
      <c r="E142" s="92">
        <f>5989508+548687</f>
        <v>6538195</v>
      </c>
      <c r="F142" s="36">
        <v>0</v>
      </c>
      <c r="G142" s="39"/>
      <c r="H142" s="61">
        <f>E142*F142</f>
        <v>0</v>
      </c>
      <c r="I142" s="21"/>
      <c r="J142" s="68" t="s">
        <v>199</v>
      </c>
      <c r="K142" s="21"/>
      <c r="L142" s="21"/>
      <c r="M142" s="10"/>
      <c r="N142" s="10"/>
      <c r="O142" s="10"/>
      <c r="P142" s="9"/>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row>
    <row r="143" spans="1:63" ht="15">
      <c r="A143" s="67">
        <v>16</v>
      </c>
      <c r="C143" s="18" t="s">
        <v>272</v>
      </c>
      <c r="D143" s="21"/>
      <c r="E143" s="21">
        <f>SUM(E139:E142)</f>
        <v>47093325</v>
      </c>
      <c r="F143" s="21"/>
      <c r="G143" s="21"/>
      <c r="H143" s="21">
        <f>SUM(H139:H142)</f>
        <v>2418784.1399879833</v>
      </c>
      <c r="I143" s="20" t="s">
        <v>200</v>
      </c>
      <c r="J143" s="30">
        <f>IF(H143&gt;0,H143/E143,0)</f>
        <v>0.05136150696490391</v>
      </c>
      <c r="K143" s="22" t="s">
        <v>200</v>
      </c>
      <c r="L143" s="22" t="s">
        <v>266</v>
      </c>
      <c r="M143" s="10"/>
      <c r="N143" s="10"/>
      <c r="O143" s="10"/>
      <c r="P143" s="9"/>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row>
    <row r="144" spans="1:63" ht="15">
      <c r="A144" s="67" t="s">
        <v>105</v>
      </c>
      <c r="C144" s="18" t="s">
        <v>105</v>
      </c>
      <c r="D144" s="21" t="s">
        <v>105</v>
      </c>
      <c r="F144" s="21"/>
      <c r="G144" s="21"/>
      <c r="K144" s="28"/>
      <c r="L144" s="21"/>
      <c r="M144" s="10"/>
      <c r="N144" s="10"/>
      <c r="O144" s="10"/>
      <c r="P144" s="9"/>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row>
    <row r="145" spans="1:63" ht="15">
      <c r="A145" s="67"/>
      <c r="C145" s="18"/>
      <c r="D145" s="21"/>
      <c r="E145" s="21"/>
      <c r="F145" s="21"/>
      <c r="G145" s="21"/>
      <c r="H145" s="21"/>
      <c r="I145" s="21"/>
      <c r="J145" s="21"/>
      <c r="K145" s="21"/>
      <c r="L145" s="21"/>
      <c r="M145" s="10" t="s">
        <v>105</v>
      </c>
      <c r="N145" s="10"/>
      <c r="O145" s="10"/>
      <c r="P145" s="9"/>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row>
    <row r="146" spans="1:63" ht="15">
      <c r="A146" s="67"/>
      <c r="C146" s="18" t="s">
        <v>830</v>
      </c>
      <c r="D146" s="21"/>
      <c r="E146" s="167"/>
      <c r="F146" s="21"/>
      <c r="G146" s="21"/>
      <c r="H146" s="21"/>
      <c r="I146" s="21"/>
      <c r="J146" s="21"/>
      <c r="K146" s="21"/>
      <c r="L146" s="21"/>
      <c r="M146" s="10"/>
      <c r="N146" s="10"/>
      <c r="O146" s="10"/>
      <c r="P146" s="9"/>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row>
    <row r="147" spans="1:63" ht="15">
      <c r="A147" s="67"/>
      <c r="C147" s="18"/>
      <c r="D147" s="21"/>
      <c r="E147" s="46" t="s">
        <v>191</v>
      </c>
      <c r="F147" s="21"/>
      <c r="G147" s="21"/>
      <c r="H147" s="22" t="s">
        <v>201</v>
      </c>
      <c r="I147" s="32" t="s">
        <v>105</v>
      </c>
      <c r="J147" s="34" t="str">
        <f>+J141</f>
        <v>W&amp;S Allocator</v>
      </c>
      <c r="K147" s="28"/>
      <c r="L147" s="28"/>
      <c r="M147" s="10"/>
      <c r="N147" s="10"/>
      <c r="O147" s="10"/>
      <c r="P147" s="9"/>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row>
    <row r="148" spans="1:63" ht="15">
      <c r="A148" s="67">
        <v>17</v>
      </c>
      <c r="C148" s="18" t="s">
        <v>202</v>
      </c>
      <c r="D148" s="21" t="s">
        <v>203</v>
      </c>
      <c r="E148" s="91">
        <f>2658062892</f>
        <v>2658062892</v>
      </c>
      <c r="F148" s="21"/>
      <c r="G148" s="28"/>
      <c r="H148" s="67" t="s">
        <v>204</v>
      </c>
      <c r="I148" s="52"/>
      <c r="J148" s="67" t="s">
        <v>205</v>
      </c>
      <c r="K148" s="21"/>
      <c r="L148" s="20" t="s">
        <v>206</v>
      </c>
      <c r="M148" s="10"/>
      <c r="N148" s="10"/>
      <c r="O148" s="10"/>
      <c r="P148" s="9"/>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row>
    <row r="149" spans="1:63" ht="15">
      <c r="A149" s="67">
        <v>18</v>
      </c>
      <c r="C149" s="18" t="s">
        <v>207</v>
      </c>
      <c r="D149" s="21" t="s">
        <v>208</v>
      </c>
      <c r="E149" s="91">
        <v>0</v>
      </c>
      <c r="F149" s="21"/>
      <c r="G149" s="28"/>
      <c r="H149" s="32">
        <f>IF(E151&gt;0,E148/E151,0)</f>
        <v>1</v>
      </c>
      <c r="I149" s="22" t="s">
        <v>209</v>
      </c>
      <c r="J149" s="32">
        <f>J143</f>
        <v>0.05136150696490391</v>
      </c>
      <c r="K149" s="32" t="s">
        <v>200</v>
      </c>
      <c r="L149" s="394">
        <f>J149*H149</f>
        <v>0.05136150696490391</v>
      </c>
      <c r="M149" s="10"/>
      <c r="N149" s="10"/>
      <c r="O149" s="10"/>
      <c r="P149" s="9"/>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row>
    <row r="150" spans="1:63" ht="15" thickBot="1">
      <c r="A150" s="67">
        <v>19</v>
      </c>
      <c r="C150" s="78" t="s">
        <v>210</v>
      </c>
      <c r="D150" s="61" t="s">
        <v>211</v>
      </c>
      <c r="E150" s="92">
        <v>0</v>
      </c>
      <c r="F150" s="61"/>
      <c r="G150" s="21"/>
      <c r="H150" s="21" t="s">
        <v>105</v>
      </c>
      <c r="I150" s="21"/>
      <c r="J150" s="21"/>
      <c r="K150" s="21"/>
      <c r="L150" s="21"/>
      <c r="M150" s="10"/>
      <c r="N150" s="10"/>
      <c r="O150" s="10"/>
      <c r="P150" s="9"/>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row>
    <row r="151" spans="1:63" ht="15">
      <c r="A151" s="67">
        <v>20</v>
      </c>
      <c r="C151" s="18" t="s">
        <v>247</v>
      </c>
      <c r="D151" s="21"/>
      <c r="E151" s="21">
        <f>E148+E149+E150</f>
        <v>2658062892</v>
      </c>
      <c r="F151" s="21"/>
      <c r="G151" s="21"/>
      <c r="H151" s="21"/>
      <c r="I151" s="21"/>
      <c r="J151" s="21"/>
      <c r="K151" s="21"/>
      <c r="L151" s="21"/>
      <c r="M151" s="10"/>
      <c r="N151" s="10"/>
      <c r="O151" s="10"/>
      <c r="P151" s="9"/>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row>
    <row r="152" spans="1:63" ht="15">
      <c r="A152" s="67"/>
      <c r="C152" s="18" t="s">
        <v>105</v>
      </c>
      <c r="D152" s="21"/>
      <c r="F152" s="21"/>
      <c r="G152" s="21"/>
      <c r="H152" s="21"/>
      <c r="I152" s="21"/>
      <c r="J152" s="21" t="s">
        <v>105</v>
      </c>
      <c r="K152" s="21" t="s">
        <v>105</v>
      </c>
      <c r="L152" s="21"/>
      <c r="M152" s="10"/>
      <c r="N152" s="10"/>
      <c r="O152" s="10"/>
      <c r="P152" s="9"/>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row>
    <row r="153" spans="1:63" ht="15">
      <c r="A153" s="67"/>
      <c r="C153" s="18"/>
      <c r="D153" s="21"/>
      <c r="F153" s="21"/>
      <c r="G153" s="21"/>
      <c r="H153" s="21"/>
      <c r="I153" s="21"/>
      <c r="J153" s="21"/>
      <c r="K153" s="21"/>
      <c r="L153" s="21"/>
      <c r="M153" s="10"/>
      <c r="N153" s="10"/>
      <c r="O153" s="10"/>
      <c r="P153" s="9"/>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row>
    <row r="154" spans="1:63" ht="15.75" thickBot="1">
      <c r="A154" s="67"/>
      <c r="B154" s="3"/>
      <c r="C154" s="48" t="s">
        <v>212</v>
      </c>
      <c r="D154" s="21"/>
      <c r="E154" s="167"/>
      <c r="F154" s="21"/>
      <c r="G154" s="21"/>
      <c r="H154" s="21"/>
      <c r="I154" s="21"/>
      <c r="J154" s="62" t="s">
        <v>191</v>
      </c>
      <c r="K154" s="21"/>
      <c r="L154" s="21"/>
      <c r="M154" s="10"/>
      <c r="N154" s="10"/>
      <c r="O154" s="10"/>
      <c r="P154" s="9"/>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row>
    <row r="155" spans="1:63" ht="15">
      <c r="A155" s="67">
        <v>21</v>
      </c>
      <c r="B155" s="3"/>
      <c r="C155" s="3"/>
      <c r="D155" s="21" t="s">
        <v>369</v>
      </c>
      <c r="E155" s="21"/>
      <c r="F155" s="21"/>
      <c r="G155" s="21"/>
      <c r="H155" s="21"/>
      <c r="I155" s="21"/>
      <c r="J155" s="165">
        <f>73720873+2907066+4276002</f>
        <v>80903941</v>
      </c>
      <c r="K155" s="21"/>
      <c r="L155" s="21"/>
      <c r="M155" s="10"/>
      <c r="N155" s="10"/>
      <c r="O155" s="10"/>
      <c r="P155" s="9"/>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row>
    <row r="156" spans="1:63" ht="15">
      <c r="A156" s="67"/>
      <c r="C156" s="18"/>
      <c r="D156" s="21"/>
      <c r="E156" s="21"/>
      <c r="F156" s="21"/>
      <c r="G156" s="21"/>
      <c r="H156" s="21"/>
      <c r="I156" s="21"/>
      <c r="J156" s="21"/>
      <c r="K156" s="21"/>
      <c r="L156" s="21"/>
      <c r="M156" s="10"/>
      <c r="N156" s="10"/>
      <c r="O156" s="10"/>
      <c r="P156" s="9"/>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row>
    <row r="157" spans="1:63" ht="15">
      <c r="A157" s="67">
        <v>22</v>
      </c>
      <c r="B157" s="3"/>
      <c r="C157" s="170"/>
      <c r="D157" s="21" t="s">
        <v>213</v>
      </c>
      <c r="E157" s="21"/>
      <c r="F157" s="21"/>
      <c r="G157" s="21"/>
      <c r="H157" s="21"/>
      <c r="I157" s="55"/>
      <c r="J157" s="93">
        <v>969793</v>
      </c>
      <c r="K157" s="21"/>
      <c r="L157" s="21"/>
      <c r="M157" s="10"/>
      <c r="N157" s="10"/>
      <c r="O157" s="10"/>
      <c r="P157" s="9"/>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row>
    <row r="158" spans="1:63" ht="15">
      <c r="A158" s="67"/>
      <c r="B158" s="3"/>
      <c r="C158" s="48"/>
      <c r="D158" s="21"/>
      <c r="E158" s="21"/>
      <c r="F158" s="21"/>
      <c r="G158" s="21"/>
      <c r="H158" s="21"/>
      <c r="I158" s="21"/>
      <c r="J158" s="21"/>
      <c r="K158" s="21"/>
      <c r="L158" s="21"/>
      <c r="M158" s="10"/>
      <c r="N158" s="10"/>
      <c r="O158" s="10"/>
      <c r="P158" s="9"/>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row>
    <row r="159" spans="1:63" ht="15">
      <c r="A159" s="67"/>
      <c r="B159" s="3"/>
      <c r="C159" s="48" t="s">
        <v>219</v>
      </c>
      <c r="D159" s="21"/>
      <c r="E159" s="21"/>
      <c r="F159" s="21"/>
      <c r="G159" s="21"/>
      <c r="H159" s="21"/>
      <c r="I159" s="21"/>
      <c r="J159" s="21"/>
      <c r="K159" s="21"/>
      <c r="L159" s="21"/>
      <c r="M159" s="10"/>
      <c r="N159" s="10"/>
      <c r="O159" s="10"/>
      <c r="P159" s="9"/>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row>
    <row r="160" spans="1:63" ht="15">
      <c r="A160" s="67">
        <v>23</v>
      </c>
      <c r="B160" s="3"/>
      <c r="C160" s="48"/>
      <c r="D160" s="21" t="s">
        <v>380</v>
      </c>
      <c r="E160" s="168"/>
      <c r="F160" s="21"/>
      <c r="G160" s="21"/>
      <c r="H160" s="21"/>
      <c r="I160" s="21"/>
      <c r="J160" s="91">
        <v>1440059897</v>
      </c>
      <c r="K160" s="21"/>
      <c r="L160" s="21"/>
      <c r="M160" s="10"/>
      <c r="N160" s="10"/>
      <c r="O160" s="10"/>
      <c r="P160" s="9"/>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row>
    <row r="161" spans="1:63" ht="15">
      <c r="A161" s="67">
        <v>24</v>
      </c>
      <c r="B161" s="3"/>
      <c r="C161" s="48"/>
      <c r="D161" s="21" t="s">
        <v>274</v>
      </c>
      <c r="E161" s="21"/>
      <c r="F161" s="21"/>
      <c r="G161" s="21"/>
      <c r="H161" s="21"/>
      <c r="I161" s="21"/>
      <c r="J161" s="99">
        <f>-E167</f>
        <v>-21436300</v>
      </c>
      <c r="K161" s="21"/>
      <c r="L161" s="21"/>
      <c r="M161" s="10"/>
      <c r="N161" s="10"/>
      <c r="O161" s="10"/>
      <c r="P161" s="9"/>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row>
    <row r="162" spans="1:63" ht="15" thickBot="1">
      <c r="A162" s="67">
        <v>25</v>
      </c>
      <c r="B162" s="3"/>
      <c r="C162" s="170"/>
      <c r="D162" s="55" t="s">
        <v>779</v>
      </c>
      <c r="E162" s="55"/>
      <c r="F162" s="55"/>
      <c r="G162" s="55"/>
      <c r="H162" s="55"/>
      <c r="I162" s="21"/>
      <c r="J162" s="92">
        <v>0</v>
      </c>
      <c r="K162" s="21"/>
      <c r="L162" s="21"/>
      <c r="M162" s="10"/>
      <c r="N162" s="10"/>
      <c r="O162" s="10"/>
      <c r="P162" s="9"/>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row>
    <row r="163" spans="1:63" ht="15">
      <c r="A163" s="67">
        <v>26</v>
      </c>
      <c r="B163" s="3"/>
      <c r="C163" s="3"/>
      <c r="D163" s="21" t="s">
        <v>220</v>
      </c>
      <c r="E163" s="3" t="s">
        <v>221</v>
      </c>
      <c r="F163" s="3"/>
      <c r="G163" s="3"/>
      <c r="H163" s="3"/>
      <c r="I163" s="3"/>
      <c r="J163" s="21">
        <f>+J160+J161+J162</f>
        <v>1418623597</v>
      </c>
      <c r="K163" s="21"/>
      <c r="L163" s="21"/>
      <c r="M163" s="10"/>
      <c r="N163" s="10"/>
      <c r="O163" s="10"/>
      <c r="P163" s="9"/>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row>
    <row r="164" spans="1:63" ht="15">
      <c r="A164" s="67"/>
      <c r="C164" s="18"/>
      <c r="D164" s="21"/>
      <c r="E164" s="21"/>
      <c r="F164" s="21"/>
      <c r="G164" s="21"/>
      <c r="H164" s="22" t="s">
        <v>222</v>
      </c>
      <c r="I164" s="21"/>
      <c r="J164" s="21"/>
      <c r="K164" s="21"/>
      <c r="L164" s="21"/>
      <c r="M164" s="10"/>
      <c r="N164" s="10"/>
      <c r="O164" s="10"/>
      <c r="P164" s="9"/>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row>
    <row r="165" spans="1:63" ht="15.75" thickBot="1">
      <c r="A165" s="67"/>
      <c r="C165" s="18"/>
      <c r="D165" s="167"/>
      <c r="E165" s="58" t="s">
        <v>191</v>
      </c>
      <c r="F165" s="58" t="s">
        <v>223</v>
      </c>
      <c r="G165" s="21"/>
      <c r="H165" s="58" t="s">
        <v>831</v>
      </c>
      <c r="I165" s="21"/>
      <c r="J165" s="58" t="s">
        <v>224</v>
      </c>
      <c r="K165" s="21"/>
      <c r="L165" s="21"/>
      <c r="M165" s="10"/>
      <c r="N165" s="10"/>
      <c r="O165" s="10"/>
      <c r="P165" s="9"/>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row>
    <row r="166" spans="1:63" ht="15">
      <c r="A166" s="67">
        <v>27</v>
      </c>
      <c r="C166" s="48" t="s">
        <v>381</v>
      </c>
      <c r="E166" s="91">
        <f>1033840000+145078000</f>
        <v>1178918000</v>
      </c>
      <c r="F166" s="79">
        <f>IF($E$169&gt;0,E166/$E$169,0)</f>
        <v>0.45014431062989607</v>
      </c>
      <c r="G166" s="40"/>
      <c r="H166" s="40">
        <f>IF(E166&gt;0,J155/E166,0)</f>
        <v>0.06862558803920205</v>
      </c>
      <c r="J166" s="40">
        <f>H166*F166</f>
        <v>0.030891418019477847</v>
      </c>
      <c r="K166" s="41" t="s">
        <v>225</v>
      </c>
      <c r="M166" s="10"/>
      <c r="N166" s="10"/>
      <c r="O166" s="10"/>
      <c r="P166" s="9"/>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row>
    <row r="167" spans="1:63" ht="15">
      <c r="A167" s="67">
        <v>28</v>
      </c>
      <c r="C167" s="48" t="s">
        <v>372</v>
      </c>
      <c r="E167" s="91">
        <v>21436300</v>
      </c>
      <c r="F167" s="79">
        <f>IF($E$169&gt;0,E167/$E$169,0)</f>
        <v>0.008184986984638152</v>
      </c>
      <c r="G167" s="40"/>
      <c r="H167" s="40">
        <f>IF(E167&gt;0,J157/E167,0)</f>
        <v>0.04524068985785793</v>
      </c>
      <c r="J167" s="40">
        <f>H167*F167</f>
        <v>0.00037029445766261843</v>
      </c>
      <c r="K167" s="21"/>
      <c r="M167" s="10"/>
      <c r="N167" s="10"/>
      <c r="O167" s="10"/>
      <c r="P167" s="9"/>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row>
    <row r="168" spans="1:63" ht="15" thickBot="1">
      <c r="A168" s="67">
        <v>29</v>
      </c>
      <c r="C168" s="48" t="s">
        <v>226</v>
      </c>
      <c r="E168" s="61">
        <f>J163</f>
        <v>1418623597</v>
      </c>
      <c r="F168" s="79">
        <f>IF($E$169&gt;0,E168/$E$169,0)</f>
        <v>0.5416707023854658</v>
      </c>
      <c r="G168" s="40"/>
      <c r="H168" s="161">
        <f>0.108</f>
        <v>0.108</v>
      </c>
      <c r="J168" s="98">
        <f>H168*F168</f>
        <v>0.058500435857630304</v>
      </c>
      <c r="K168" s="21"/>
      <c r="M168" s="10"/>
      <c r="N168" s="10"/>
      <c r="O168" s="10"/>
      <c r="P168" s="9"/>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row>
    <row r="169" spans="1:63" ht="15">
      <c r="A169" s="67">
        <v>30</v>
      </c>
      <c r="C169" s="18" t="s">
        <v>270</v>
      </c>
      <c r="E169" s="21">
        <f>E168+E167+E166</f>
        <v>2618977897</v>
      </c>
      <c r="F169" s="21" t="s">
        <v>105</v>
      </c>
      <c r="G169" s="21"/>
      <c r="H169" s="21"/>
      <c r="I169" s="21"/>
      <c r="J169" s="40">
        <f>SUM(J166:J168)</f>
        <v>0.08976214833477077</v>
      </c>
      <c r="K169" s="41" t="s">
        <v>227</v>
      </c>
      <c r="M169" s="10"/>
      <c r="N169" s="10"/>
      <c r="O169" s="10"/>
      <c r="P169" s="9"/>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row>
    <row r="170" spans="1:63" ht="15">
      <c r="A170" s="67"/>
      <c r="B170" s="3"/>
      <c r="C170" s="57"/>
      <c r="D170" s="512" t="str">
        <f>+D1</f>
        <v>     Rate Formula Template</v>
      </c>
      <c r="E170" s="510"/>
      <c r="F170" s="510"/>
      <c r="G170" s="21"/>
      <c r="J170" t="str">
        <f>+J1</f>
        <v> </v>
      </c>
      <c r="K170" s="59"/>
      <c r="L170" s="60"/>
      <c r="M170" s="3"/>
      <c r="N170" s="4"/>
      <c r="O170" s="7"/>
      <c r="P170" s="9"/>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row>
    <row r="171" spans="1:63" ht="15">
      <c r="A171" s="67"/>
      <c r="B171" s="3"/>
      <c r="C171" s="57"/>
      <c r="D171" s="512" t="str">
        <f>+D2</f>
        <v> Utilizing FERC Form 1 Data</v>
      </c>
      <c r="E171" s="510"/>
      <c r="F171" s="510"/>
      <c r="G171" s="21"/>
      <c r="H171" s="21"/>
      <c r="J171" t="str">
        <f>+J2</f>
        <v>Schedule WEN</v>
      </c>
      <c r="K171" s="59"/>
      <c r="L171" s="60"/>
      <c r="M171" s="3"/>
      <c r="N171" s="4"/>
      <c r="O171" s="7"/>
      <c r="P171" s="9"/>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row>
    <row r="172" spans="1:63" ht="15">
      <c r="A172" s="67"/>
      <c r="B172" s="3"/>
      <c r="C172" s="57"/>
      <c r="D172" s="512" t="str">
        <f>+D3</f>
        <v>For the 12 months ended 12/31/05</v>
      </c>
      <c r="E172" s="510"/>
      <c r="F172" s="510"/>
      <c r="G172" s="21"/>
      <c r="H172" s="21"/>
      <c r="I172" s="80"/>
      <c r="J172" s="80" t="s">
        <v>88</v>
      </c>
      <c r="K172" s="59"/>
      <c r="L172" s="60"/>
      <c r="M172" s="3"/>
      <c r="N172" s="4"/>
      <c r="O172" s="7"/>
      <c r="P172" s="7"/>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row>
    <row r="173" spans="1:63" ht="15">
      <c r="A173" s="67"/>
      <c r="B173" s="3"/>
      <c r="C173" s="57"/>
      <c r="D173" s="50"/>
      <c r="E173" s="21"/>
      <c r="F173" s="21"/>
      <c r="G173" s="21"/>
      <c r="H173" s="21"/>
      <c r="I173" s="80"/>
      <c r="K173" s="59"/>
      <c r="L173" s="60"/>
      <c r="M173" s="3"/>
      <c r="N173" s="4"/>
      <c r="O173" s="7"/>
      <c r="P173" s="7"/>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row>
    <row r="174" spans="1:63" ht="15">
      <c r="A174" s="67"/>
      <c r="B174" s="3"/>
      <c r="C174" s="57"/>
      <c r="D174" s="512" t="str">
        <f>+D5</f>
        <v>WESTAR ENERGY, INC.</v>
      </c>
      <c r="E174" s="510"/>
      <c r="F174" s="510"/>
      <c r="G174" s="21"/>
      <c r="H174" s="21"/>
      <c r="I174" s="49"/>
      <c r="K174" s="59"/>
      <c r="L174" s="60"/>
      <c r="M174" s="3"/>
      <c r="N174" s="4"/>
      <c r="O174" s="7"/>
      <c r="P174" s="7"/>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row>
    <row r="175" spans="1:63" ht="15">
      <c r="A175" s="67"/>
      <c r="B175" s="3"/>
      <c r="C175" s="57"/>
      <c r="D175" s="512" t="str">
        <f>+D6</f>
        <v>(WEN)</v>
      </c>
      <c r="E175" s="510"/>
      <c r="F175" s="510"/>
      <c r="G175" s="21"/>
      <c r="H175" s="21"/>
      <c r="I175" s="49"/>
      <c r="J175" s="80"/>
      <c r="K175" s="59"/>
      <c r="L175" s="60"/>
      <c r="M175" s="3"/>
      <c r="N175" s="4"/>
      <c r="O175" s="7"/>
      <c r="P175" s="7"/>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row>
    <row r="176" spans="1:63" ht="15">
      <c r="A176" s="67"/>
      <c r="B176" s="3"/>
      <c r="C176" s="57"/>
      <c r="D176" s="50"/>
      <c r="E176" s="22"/>
      <c r="F176" s="21"/>
      <c r="G176" s="21"/>
      <c r="H176" s="21"/>
      <c r="I176" s="49"/>
      <c r="J176" s="80"/>
      <c r="K176" s="59"/>
      <c r="L176" s="60"/>
      <c r="M176" s="3"/>
      <c r="N176" s="4"/>
      <c r="O176" s="7"/>
      <c r="P176" s="7"/>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row>
    <row r="177" spans="2:63" ht="15">
      <c r="B177" s="3"/>
      <c r="C177" s="57"/>
      <c r="D177" s="514" t="s">
        <v>337</v>
      </c>
      <c r="E177" s="510"/>
      <c r="F177" s="510"/>
      <c r="G177" s="21"/>
      <c r="H177" s="21"/>
      <c r="I177" s="49"/>
      <c r="J177" s="80"/>
      <c r="K177" s="59"/>
      <c r="L177" s="60"/>
      <c r="M177" s="3"/>
      <c r="N177" s="4"/>
      <c r="O177" s="7"/>
      <c r="P177" s="7"/>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row>
    <row r="178" spans="2:63" ht="15">
      <c r="B178" s="3"/>
      <c r="C178" s="57"/>
      <c r="D178" s="50"/>
      <c r="E178" s="46"/>
      <c r="F178" s="21"/>
      <c r="G178" s="21"/>
      <c r="H178" s="21"/>
      <c r="I178" s="49"/>
      <c r="J178" s="80"/>
      <c r="K178" s="59"/>
      <c r="L178" s="60"/>
      <c r="M178" s="3"/>
      <c r="N178" s="4"/>
      <c r="O178" s="7"/>
      <c r="P178" s="7"/>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row>
    <row r="179" spans="1:63" ht="17.25">
      <c r="A179" s="84" t="s">
        <v>735</v>
      </c>
      <c r="B179" s="3"/>
      <c r="C179" s="57"/>
      <c r="D179" s="50"/>
      <c r="E179" s="46"/>
      <c r="F179" s="21"/>
      <c r="G179" s="21"/>
      <c r="H179" s="21"/>
      <c r="I179" s="49"/>
      <c r="J179" s="80"/>
      <c r="K179" s="59"/>
      <c r="L179" s="60"/>
      <c r="M179" s="3"/>
      <c r="N179" s="4"/>
      <c r="O179" s="7"/>
      <c r="P179" s="7"/>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row>
    <row r="180" spans="1:63" ht="17.25">
      <c r="A180" s="84" t="s">
        <v>787</v>
      </c>
      <c r="B180" s="3"/>
      <c r="C180" s="1"/>
      <c r="D180" s="81"/>
      <c r="E180" s="2"/>
      <c r="F180" s="2"/>
      <c r="G180" s="2"/>
      <c r="H180" s="2"/>
      <c r="I180" s="3"/>
      <c r="J180" s="2"/>
      <c r="K180" s="3"/>
      <c r="L180" s="2"/>
      <c r="M180" s="3"/>
      <c r="N180" s="4"/>
      <c r="O180" s="7"/>
      <c r="P180" s="7"/>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row>
    <row r="181" spans="1:63" ht="20.25">
      <c r="A181" s="83"/>
      <c r="B181" s="82"/>
      <c r="D181" s="83"/>
      <c r="E181" s="85"/>
      <c r="F181" s="85"/>
      <c r="G181" s="85"/>
      <c r="H181" s="85"/>
      <c r="I181" s="82"/>
      <c r="J181" s="85"/>
      <c r="K181" s="88"/>
      <c r="L181" s="89"/>
      <c r="M181" s="88"/>
      <c r="N181" s="86"/>
      <c r="O181" s="7"/>
      <c r="P181" s="7"/>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row>
    <row r="182" spans="1:63" ht="20.25">
      <c r="A182" s="83" t="s">
        <v>229</v>
      </c>
      <c r="B182" s="82"/>
      <c r="D182" s="83"/>
      <c r="E182" s="85"/>
      <c r="F182" s="85"/>
      <c r="G182" s="85"/>
      <c r="H182" s="85"/>
      <c r="I182" s="82"/>
      <c r="J182" s="85"/>
      <c r="K182" s="88"/>
      <c r="L182" s="89"/>
      <c r="M182" s="88"/>
      <c r="N182" s="86"/>
      <c r="O182" s="7"/>
      <c r="P182" s="7"/>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row>
    <row r="183" spans="1:63" ht="21" thickBot="1">
      <c r="A183" s="87" t="s">
        <v>230</v>
      </c>
      <c r="B183" s="82"/>
      <c r="C183" s="84"/>
      <c r="D183" s="82"/>
      <c r="E183" s="85"/>
      <c r="F183" s="85"/>
      <c r="G183" s="85"/>
      <c r="H183" s="85"/>
      <c r="I183" s="82"/>
      <c r="J183" s="85"/>
      <c r="K183" s="88"/>
      <c r="L183" s="89"/>
      <c r="M183" s="88"/>
      <c r="N183" s="86"/>
      <c r="O183" s="7"/>
      <c r="P183" s="7"/>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row>
    <row r="184" spans="1:63" ht="20.25">
      <c r="A184" s="273" t="s">
        <v>679</v>
      </c>
      <c r="B184" s="103"/>
      <c r="C184" s="103" t="s">
        <v>471</v>
      </c>
      <c r="D184" s="103"/>
      <c r="E184" s="103"/>
      <c r="F184" s="103"/>
      <c r="G184" s="103"/>
      <c r="H184" s="103"/>
      <c r="I184" s="103"/>
      <c r="J184" s="103"/>
      <c r="K184" s="104"/>
      <c r="L184" s="104"/>
      <c r="M184" s="104"/>
      <c r="N184" s="105"/>
      <c r="O184" s="7"/>
      <c r="P184" s="7"/>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row>
    <row r="185" spans="1:63" ht="20.25">
      <c r="A185" s="83" t="s">
        <v>656</v>
      </c>
      <c r="B185" s="82"/>
      <c r="C185" s="103" t="s">
        <v>232</v>
      </c>
      <c r="D185" s="103"/>
      <c r="E185" s="103"/>
      <c r="F185" s="103"/>
      <c r="G185" s="103"/>
      <c r="H185" s="103"/>
      <c r="I185" s="103"/>
      <c r="J185" s="103"/>
      <c r="K185" s="104"/>
      <c r="L185" s="104"/>
      <c r="M185" s="104"/>
      <c r="N185" s="105"/>
      <c r="O185" s="7"/>
      <c r="P185" s="7"/>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row>
    <row r="186" spans="1:63" ht="20.25">
      <c r="A186" s="83" t="s">
        <v>23</v>
      </c>
      <c r="B186" s="82"/>
      <c r="C186" s="103" t="s">
        <v>475</v>
      </c>
      <c r="D186" s="103"/>
      <c r="E186" s="103"/>
      <c r="F186" s="103"/>
      <c r="G186" s="103"/>
      <c r="H186" s="103"/>
      <c r="I186" s="103"/>
      <c r="J186" s="103"/>
      <c r="K186" s="104"/>
      <c r="L186" s="104"/>
      <c r="M186" s="104"/>
      <c r="N186" s="105"/>
      <c r="O186" s="7"/>
      <c r="P186" s="7"/>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row>
    <row r="187" spans="1:63" ht="20.25">
      <c r="A187" s="83"/>
      <c r="B187" s="82"/>
      <c r="C187" s="103" t="s">
        <v>727</v>
      </c>
      <c r="D187" s="103"/>
      <c r="E187" s="103"/>
      <c r="F187" s="103"/>
      <c r="G187" s="103"/>
      <c r="H187" s="103"/>
      <c r="I187" s="103"/>
      <c r="J187" s="103"/>
      <c r="K187" s="104"/>
      <c r="L187" s="104"/>
      <c r="M187" s="104"/>
      <c r="N187" s="105"/>
      <c r="O187" s="7"/>
      <c r="P187" s="7"/>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row>
    <row r="188" spans="1:63" ht="20.25">
      <c r="A188" s="101" t="s">
        <v>26</v>
      </c>
      <c r="B188" s="100"/>
      <c r="C188" s="106" t="s">
        <v>476</v>
      </c>
      <c r="D188" s="108"/>
      <c r="E188" s="108"/>
      <c r="F188" s="103"/>
      <c r="G188" s="103"/>
      <c r="H188" s="103"/>
      <c r="I188" s="103"/>
      <c r="J188" s="103"/>
      <c r="K188" s="104"/>
      <c r="L188" s="104"/>
      <c r="M188" s="104"/>
      <c r="N188" s="105"/>
      <c r="O188" s="7"/>
      <c r="P188" s="7"/>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row>
    <row r="189" spans="1:63" ht="20.25">
      <c r="A189" s="146" t="s">
        <v>24</v>
      </c>
      <c r="B189" s="100"/>
      <c r="C189" s="106" t="s">
        <v>60</v>
      </c>
      <c r="D189" s="108"/>
      <c r="E189" s="108"/>
      <c r="F189" s="108"/>
      <c r="G189" s="108"/>
      <c r="H189" s="108"/>
      <c r="I189" s="108"/>
      <c r="J189" s="108"/>
      <c r="K189" s="108"/>
      <c r="L189" s="104"/>
      <c r="M189" s="104"/>
      <c r="N189" s="105"/>
      <c r="O189" s="7"/>
      <c r="P189" s="7"/>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row>
    <row r="190" spans="1:63" ht="20.25">
      <c r="A190" s="83" t="s">
        <v>25</v>
      </c>
      <c r="B190" s="82"/>
      <c r="C190" s="103" t="s">
        <v>631</v>
      </c>
      <c r="D190" s="103"/>
      <c r="E190" s="103"/>
      <c r="F190" s="103"/>
      <c r="G190" s="103"/>
      <c r="H190" s="103"/>
      <c r="I190" s="103"/>
      <c r="J190" s="103"/>
      <c r="K190" s="104"/>
      <c r="L190" s="104"/>
      <c r="M190" s="104"/>
      <c r="N190" s="105"/>
      <c r="O190" s="7"/>
      <c r="P190" s="7"/>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row>
    <row r="191" spans="1:63" ht="20.25">
      <c r="A191" s="83" t="s">
        <v>105</v>
      </c>
      <c r="B191" s="82"/>
      <c r="C191" s="102" t="s">
        <v>751</v>
      </c>
      <c r="D191" s="103"/>
      <c r="E191" s="103"/>
      <c r="F191" s="103"/>
      <c r="G191" s="103"/>
      <c r="H191" s="103"/>
      <c r="I191" s="103"/>
      <c r="J191" s="103"/>
      <c r="K191" s="104"/>
      <c r="L191" s="104"/>
      <c r="M191" s="104"/>
      <c r="N191" s="105"/>
      <c r="O191" s="7"/>
      <c r="P191" s="7"/>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row>
    <row r="192" spans="1:63" ht="20.25">
      <c r="A192" s="83"/>
      <c r="B192" s="82"/>
      <c r="C192" s="103" t="s">
        <v>750</v>
      </c>
      <c r="D192" s="103"/>
      <c r="E192" s="103"/>
      <c r="F192" s="103"/>
      <c r="G192" s="103"/>
      <c r="H192" s="103"/>
      <c r="I192" s="103"/>
      <c r="J192" s="103"/>
      <c r="K192" s="104"/>
      <c r="L192" s="104"/>
      <c r="M192" s="104"/>
      <c r="N192" s="105"/>
      <c r="O192" s="7"/>
      <c r="P192" s="7"/>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row>
    <row r="193" spans="1:63" ht="20.25">
      <c r="A193" s="83" t="s">
        <v>231</v>
      </c>
      <c r="B193" s="82"/>
      <c r="C193" s="103" t="s">
        <v>236</v>
      </c>
      <c r="D193" s="103"/>
      <c r="E193" s="103"/>
      <c r="F193" s="103"/>
      <c r="G193" s="103"/>
      <c r="H193" s="103"/>
      <c r="I193" s="103"/>
      <c r="J193" s="103"/>
      <c r="K193" s="104"/>
      <c r="L193" s="104"/>
      <c r="M193" s="104"/>
      <c r="N193" s="105"/>
      <c r="O193" s="7"/>
      <c r="P193" s="7"/>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row>
    <row r="194" spans="1:63" ht="20.25">
      <c r="A194" s="83"/>
      <c r="B194" s="82"/>
      <c r="C194" s="103" t="s">
        <v>333</v>
      </c>
      <c r="D194" s="103"/>
      <c r="E194" s="103"/>
      <c r="F194" s="103"/>
      <c r="G194" s="103"/>
      <c r="H194" s="103"/>
      <c r="I194" s="103"/>
      <c r="J194" s="103"/>
      <c r="K194" s="104"/>
      <c r="L194" s="104"/>
      <c r="M194" s="104"/>
      <c r="N194" s="105"/>
      <c r="O194" s="107"/>
      <c r="P194" s="7"/>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row>
    <row r="195" spans="1:63" ht="20.25">
      <c r="A195" s="83"/>
      <c r="B195" s="82"/>
      <c r="C195" s="103" t="s">
        <v>332</v>
      </c>
      <c r="D195" s="103"/>
      <c r="E195" s="103"/>
      <c r="F195" s="103"/>
      <c r="G195" s="103"/>
      <c r="H195" s="103"/>
      <c r="I195" s="103"/>
      <c r="J195" s="103"/>
      <c r="K195" s="104"/>
      <c r="L195" s="104"/>
      <c r="M195" s="104"/>
      <c r="N195" s="105"/>
      <c r="O195" s="7"/>
      <c r="P195" s="7"/>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row>
    <row r="196" spans="1:63" ht="20.25">
      <c r="A196" s="83" t="s">
        <v>233</v>
      </c>
      <c r="B196" s="82"/>
      <c r="C196" s="103" t="s">
        <v>243</v>
      </c>
      <c r="D196" s="103"/>
      <c r="E196" s="103"/>
      <c r="F196" s="103"/>
      <c r="G196" s="103"/>
      <c r="H196" s="103"/>
      <c r="I196" s="103"/>
      <c r="J196" s="103"/>
      <c r="K196" s="104"/>
      <c r="L196" s="104"/>
      <c r="M196" s="104"/>
      <c r="N196" s="105"/>
      <c r="O196" s="7"/>
      <c r="P196" s="7"/>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row>
    <row r="197" spans="1:63" ht="20.25">
      <c r="A197" s="83"/>
      <c r="B197" s="82"/>
      <c r="C197" s="103" t="s">
        <v>249</v>
      </c>
      <c r="D197" s="103"/>
      <c r="E197" s="103"/>
      <c r="F197" s="103"/>
      <c r="G197" s="103"/>
      <c r="H197" s="103"/>
      <c r="I197" s="103"/>
      <c r="J197" s="103"/>
      <c r="K197" s="104"/>
      <c r="L197" s="104"/>
      <c r="M197" s="104"/>
      <c r="N197" s="105"/>
      <c r="O197" s="7"/>
      <c r="P197" s="7"/>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row>
    <row r="198" spans="1:63" ht="20.25">
      <c r="A198" s="83"/>
      <c r="B198" s="82"/>
      <c r="C198" s="103" t="s">
        <v>250</v>
      </c>
      <c r="D198" s="103"/>
      <c r="E198" s="103"/>
      <c r="F198" s="103"/>
      <c r="G198" s="103"/>
      <c r="H198" s="103"/>
      <c r="I198" s="103"/>
      <c r="J198" s="103"/>
      <c r="K198" s="104"/>
      <c r="L198" s="104"/>
      <c r="M198" s="104"/>
      <c r="N198" s="105"/>
      <c r="O198" s="7"/>
      <c r="P198" s="7"/>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row>
    <row r="199" spans="1:63" ht="20.25">
      <c r="A199" s="83"/>
      <c r="B199" s="82"/>
      <c r="C199" s="103" t="s">
        <v>251</v>
      </c>
      <c r="D199" s="103"/>
      <c r="E199" s="103"/>
      <c r="F199" s="103"/>
      <c r="G199" s="103"/>
      <c r="H199" s="103"/>
      <c r="I199" s="103"/>
      <c r="J199" s="103"/>
      <c r="K199" s="104"/>
      <c r="L199" s="104"/>
      <c r="M199" s="104"/>
      <c r="N199" s="105"/>
      <c r="O199" s="7"/>
      <c r="P199" s="7"/>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row>
    <row r="200" spans="1:63" ht="20.25">
      <c r="A200" s="83"/>
      <c r="B200" s="82"/>
      <c r="C200" s="103" t="s">
        <v>252</v>
      </c>
      <c r="D200" s="103"/>
      <c r="E200" s="103"/>
      <c r="F200" s="103"/>
      <c r="G200" s="103"/>
      <c r="H200" s="103"/>
      <c r="I200" s="103"/>
      <c r="J200" s="103"/>
      <c r="K200" s="104"/>
      <c r="L200" s="104"/>
      <c r="M200" s="104"/>
      <c r="N200" s="105"/>
      <c r="O200" s="7"/>
      <c r="P200" s="7"/>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row>
    <row r="201" spans="1:63" ht="20.25">
      <c r="A201" s="83"/>
      <c r="B201" s="82"/>
      <c r="C201" s="103" t="s">
        <v>20</v>
      </c>
      <c r="D201" s="103"/>
      <c r="E201" s="103"/>
      <c r="F201" s="103"/>
      <c r="G201" s="103"/>
      <c r="H201" s="103"/>
      <c r="I201" s="103"/>
      <c r="J201" s="103"/>
      <c r="K201" s="104"/>
      <c r="L201" s="104"/>
      <c r="M201" s="104"/>
      <c r="N201" s="105"/>
      <c r="O201" s="7"/>
      <c r="P201" s="7"/>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row>
    <row r="202" spans="1:63" ht="20.25">
      <c r="A202" s="83" t="s">
        <v>105</v>
      </c>
      <c r="B202" s="82"/>
      <c r="C202" s="103" t="s">
        <v>263</v>
      </c>
      <c r="D202" s="103" t="s">
        <v>253</v>
      </c>
      <c r="E202" s="125">
        <v>0.35</v>
      </c>
      <c r="F202" s="103"/>
      <c r="G202" s="103"/>
      <c r="H202" s="103"/>
      <c r="I202" s="103"/>
      <c r="J202" s="103"/>
      <c r="K202" s="104"/>
      <c r="L202" s="104"/>
      <c r="M202" s="104"/>
      <c r="N202" s="105"/>
      <c r="O202" s="7"/>
      <c r="P202" s="7"/>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row>
    <row r="203" spans="1:63" ht="20.25">
      <c r="A203" s="83"/>
      <c r="B203" s="82"/>
      <c r="C203" s="103"/>
      <c r="D203" s="103" t="s">
        <v>254</v>
      </c>
      <c r="E203" s="125">
        <v>0.0735</v>
      </c>
      <c r="F203" s="103" t="s">
        <v>255</v>
      </c>
      <c r="G203" s="103"/>
      <c r="H203" s="103"/>
      <c r="I203" s="103"/>
      <c r="J203" s="103"/>
      <c r="K203" s="104"/>
      <c r="L203" s="104"/>
      <c r="M203" s="104"/>
      <c r="N203" s="105"/>
      <c r="O203" s="7"/>
      <c r="P203" s="7"/>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row>
    <row r="204" spans="1:63" ht="20.25">
      <c r="A204" s="83"/>
      <c r="B204" s="82"/>
      <c r="C204" s="103"/>
      <c r="D204" s="103" t="s">
        <v>256</v>
      </c>
      <c r="E204" s="125">
        <v>0</v>
      </c>
      <c r="F204" s="103" t="s">
        <v>257</v>
      </c>
      <c r="G204" s="103"/>
      <c r="H204" s="103"/>
      <c r="I204" s="103"/>
      <c r="J204" s="103"/>
      <c r="K204" s="104"/>
      <c r="L204" s="104"/>
      <c r="M204" s="104"/>
      <c r="N204" s="105"/>
      <c r="O204" s="7"/>
      <c r="P204" s="7"/>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row>
    <row r="205" spans="1:63" ht="20.25">
      <c r="A205" s="83" t="s">
        <v>234</v>
      </c>
      <c r="B205" s="82"/>
      <c r="C205" s="103" t="s">
        <v>334</v>
      </c>
      <c r="D205" s="103"/>
      <c r="E205" s="103"/>
      <c r="F205" s="103"/>
      <c r="G205" s="103"/>
      <c r="H205" s="103"/>
      <c r="I205" s="103"/>
      <c r="J205" s="103"/>
      <c r="K205" s="104"/>
      <c r="L205" s="104"/>
      <c r="M205" s="104"/>
      <c r="N205" s="105"/>
      <c r="O205" s="7"/>
      <c r="P205" s="7"/>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row>
    <row r="206" spans="1:63" ht="20.25">
      <c r="A206" s="83"/>
      <c r="B206" s="82"/>
      <c r="C206" s="103" t="s">
        <v>788</v>
      </c>
      <c r="D206" s="103"/>
      <c r="E206" s="103"/>
      <c r="F206" s="103"/>
      <c r="G206" s="103"/>
      <c r="H206" s="103"/>
      <c r="I206" s="103"/>
      <c r="J206" s="103"/>
      <c r="K206" s="104"/>
      <c r="L206" s="104"/>
      <c r="M206" s="104"/>
      <c r="N206" s="105"/>
      <c r="O206" s="7"/>
      <c r="P206" s="7"/>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row>
    <row r="207" spans="1:63" ht="20.25">
      <c r="A207" s="273" t="s">
        <v>235</v>
      </c>
      <c r="B207" s="82"/>
      <c r="C207" s="84" t="s">
        <v>78</v>
      </c>
      <c r="D207" s="82"/>
      <c r="E207" s="103"/>
      <c r="F207" s="103"/>
      <c r="G207" s="103"/>
      <c r="H207" s="103"/>
      <c r="I207" s="103"/>
      <c r="J207" s="103"/>
      <c r="K207" s="104"/>
      <c r="L207" s="104"/>
      <c r="M207" s="104"/>
      <c r="N207" s="105"/>
      <c r="O207" s="7"/>
      <c r="P207" s="7"/>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row>
    <row r="208" spans="1:63" ht="20.25">
      <c r="A208" s="83" t="s">
        <v>237</v>
      </c>
      <c r="B208" s="82"/>
      <c r="C208" s="103" t="s">
        <v>273</v>
      </c>
      <c r="D208" s="103"/>
      <c r="E208" s="103"/>
      <c r="F208" s="103"/>
      <c r="G208" s="103"/>
      <c r="H208" s="103"/>
      <c r="I208" s="103"/>
      <c r="J208" s="103"/>
      <c r="K208" s="104"/>
      <c r="L208" s="104"/>
      <c r="M208" s="104"/>
      <c r="N208" s="105"/>
      <c r="O208" s="7"/>
      <c r="P208" s="7"/>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row>
    <row r="209" spans="1:63" ht="20.25">
      <c r="A209" s="83"/>
      <c r="B209" s="82"/>
      <c r="C209" s="103" t="s">
        <v>378</v>
      </c>
      <c r="D209" s="103"/>
      <c r="E209" s="103"/>
      <c r="F209" s="103"/>
      <c r="G209" s="103"/>
      <c r="H209" s="103"/>
      <c r="I209" s="103"/>
      <c r="J209" s="103"/>
      <c r="K209" s="104"/>
      <c r="L209" s="104"/>
      <c r="M209" s="104"/>
      <c r="N209" s="105"/>
      <c r="O209" s="107"/>
      <c r="P209" s="7"/>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row>
    <row r="210" spans="1:63" ht="20.25">
      <c r="A210" s="83"/>
      <c r="B210" s="82"/>
      <c r="C210" s="103" t="s">
        <v>379</v>
      </c>
      <c r="D210" s="103"/>
      <c r="E210" s="103"/>
      <c r="F210" s="103"/>
      <c r="G210" s="103"/>
      <c r="H210" s="103"/>
      <c r="I210" s="103"/>
      <c r="J210" s="103"/>
      <c r="K210" s="104"/>
      <c r="L210" s="104"/>
      <c r="M210" s="104"/>
      <c r="N210" s="105"/>
      <c r="O210" s="107"/>
      <c r="P210" s="7"/>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row>
    <row r="211" spans="1:63" ht="20.25">
      <c r="A211" s="83" t="s">
        <v>238</v>
      </c>
      <c r="B211" s="82"/>
      <c r="C211" s="103" t="s">
        <v>103</v>
      </c>
      <c r="D211" s="103"/>
      <c r="E211" s="103"/>
      <c r="F211" s="103"/>
      <c r="G211" s="103"/>
      <c r="H211" s="103"/>
      <c r="I211" s="103"/>
      <c r="J211" s="103"/>
      <c r="K211" s="104"/>
      <c r="L211" s="104"/>
      <c r="M211" s="104"/>
      <c r="N211" s="105"/>
      <c r="O211" s="107"/>
      <c r="P211" s="7"/>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row>
    <row r="212" spans="1:63" ht="20.25">
      <c r="A212" s="83" t="s">
        <v>239</v>
      </c>
      <c r="B212" s="82"/>
      <c r="C212" s="103" t="s">
        <v>271</v>
      </c>
      <c r="D212" s="103"/>
      <c r="E212" s="103"/>
      <c r="F212" s="103"/>
      <c r="G212" s="103"/>
      <c r="H212" s="103"/>
      <c r="I212" s="103"/>
      <c r="J212" s="103"/>
      <c r="K212" s="104"/>
      <c r="L212" s="104"/>
      <c r="M212" s="104"/>
      <c r="N212" s="105"/>
      <c r="O212" s="7"/>
      <c r="P212" s="7"/>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row>
    <row r="213" spans="1:63" ht="20.25">
      <c r="A213" s="146" t="s">
        <v>240</v>
      </c>
      <c r="B213" s="100"/>
      <c r="C213" s="106" t="s">
        <v>357</v>
      </c>
      <c r="D213" s="108"/>
      <c r="E213" s="103"/>
      <c r="F213" s="103"/>
      <c r="G213" s="103"/>
      <c r="H213" s="103"/>
      <c r="I213" s="103"/>
      <c r="J213" s="103"/>
      <c r="K213" s="104"/>
      <c r="L213" s="104"/>
      <c r="M213" s="104"/>
      <c r="N213" s="105"/>
      <c r="O213" s="7"/>
      <c r="P213" s="7"/>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row>
    <row r="214" spans="1:63" ht="20.25">
      <c r="A214" s="83" t="s">
        <v>22</v>
      </c>
      <c r="B214" s="82"/>
      <c r="C214" s="103" t="s">
        <v>241</v>
      </c>
      <c r="D214" s="103"/>
      <c r="E214" s="103"/>
      <c r="F214" s="103"/>
      <c r="G214" s="103"/>
      <c r="H214" s="103"/>
      <c r="I214" s="103"/>
      <c r="J214" s="103"/>
      <c r="K214" s="104"/>
      <c r="L214" s="104"/>
      <c r="M214" s="104"/>
      <c r="N214" s="105"/>
      <c r="O214" s="7"/>
      <c r="P214" s="7"/>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row>
    <row r="215" spans="1:63" ht="20.25">
      <c r="A215" s="83"/>
      <c r="B215" s="82"/>
      <c r="C215" s="103" t="s">
        <v>813</v>
      </c>
      <c r="D215" s="103"/>
      <c r="E215" s="103"/>
      <c r="F215" s="103"/>
      <c r="G215" s="103"/>
      <c r="H215" s="103"/>
      <c r="I215" s="103"/>
      <c r="J215" s="103"/>
      <c r="K215" s="104"/>
      <c r="L215" s="104"/>
      <c r="M215" s="104"/>
      <c r="N215" s="105"/>
      <c r="O215" s="7"/>
      <c r="P215" s="7"/>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row>
    <row r="216" spans="1:63" ht="20.25" customHeight="1">
      <c r="A216" s="83" t="s">
        <v>760</v>
      </c>
      <c r="B216" s="82"/>
      <c r="C216" s="103" t="s">
        <v>763</v>
      </c>
      <c r="D216" s="103"/>
      <c r="E216" s="103"/>
      <c r="F216" s="103"/>
      <c r="G216" s="103"/>
      <c r="H216" s="103"/>
      <c r="I216" s="103"/>
      <c r="J216" s="103"/>
      <c r="K216" s="104"/>
      <c r="L216" s="104"/>
      <c r="M216" s="104"/>
      <c r="N216" s="105"/>
      <c r="O216" s="7"/>
      <c r="P216" s="7"/>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row>
    <row r="217" spans="3:19" ht="20.25" customHeight="1">
      <c r="C217" s="103" t="s">
        <v>764</v>
      </c>
      <c r="L217" s="108"/>
      <c r="M217" s="5"/>
      <c r="N217" s="5"/>
      <c r="O217" s="5"/>
      <c r="P217" s="5"/>
      <c r="Q217" s="6"/>
      <c r="R217" s="6"/>
      <c r="S217" s="6"/>
    </row>
    <row r="218" spans="1:19" ht="20.25" customHeight="1">
      <c r="A218" s="464" t="s">
        <v>501</v>
      </c>
      <c r="B218" s="465"/>
      <c r="C218" s="466" t="s">
        <v>502</v>
      </c>
      <c r="D218" s="466"/>
      <c r="E218" s="154"/>
      <c r="F218" s="154"/>
      <c r="L218" s="108"/>
      <c r="M218" s="5"/>
      <c r="N218" s="5"/>
      <c r="O218" s="5"/>
      <c r="P218" s="5"/>
      <c r="Q218" s="6"/>
      <c r="R218" s="6"/>
      <c r="S218" s="6"/>
    </row>
    <row r="219" spans="1:19" ht="20.25" customHeight="1">
      <c r="A219" s="467"/>
      <c r="B219" s="465"/>
      <c r="C219" s="467" t="s">
        <v>503</v>
      </c>
      <c r="D219" s="467"/>
      <c r="E219" s="470"/>
      <c r="F219" s="154"/>
      <c r="L219" s="108"/>
      <c r="M219" s="5"/>
      <c r="N219" s="5"/>
      <c r="O219" s="5"/>
      <c r="P219" s="5"/>
      <c r="Q219" s="6"/>
      <c r="R219" s="6"/>
      <c r="S219" s="6"/>
    </row>
    <row r="220" spans="1:19" ht="17.25">
      <c r="A220" s="467"/>
      <c r="B220" s="465"/>
      <c r="C220" s="467" t="s">
        <v>504</v>
      </c>
      <c r="E220" s="471" t="s">
        <v>505</v>
      </c>
      <c r="F220" s="154"/>
      <c r="L220" s="6"/>
      <c r="M220" s="6"/>
      <c r="N220" s="6"/>
      <c r="O220" s="6"/>
      <c r="P220" s="6"/>
      <c r="Q220" s="6"/>
      <c r="R220" s="6"/>
      <c r="S220" s="6"/>
    </row>
    <row r="221" spans="1:19" ht="18">
      <c r="A221" s="467"/>
      <c r="B221" s="465"/>
      <c r="C221" s="472" t="s">
        <v>506</v>
      </c>
      <c r="E221" s="463">
        <v>0</v>
      </c>
      <c r="F221" s="154"/>
      <c r="L221" s="6"/>
      <c r="M221" s="6"/>
      <c r="N221" s="6"/>
      <c r="O221" s="6"/>
      <c r="P221" s="6"/>
      <c r="Q221" s="6"/>
      <c r="R221" s="6"/>
      <c r="S221" s="6"/>
    </row>
    <row r="222" spans="1:19" ht="20.25">
      <c r="A222" s="467"/>
      <c r="B222" s="465"/>
      <c r="C222" s="467" t="s">
        <v>507</v>
      </c>
      <c r="E222" s="466"/>
      <c r="F222" s="154"/>
      <c r="G222" s="153"/>
      <c r="H222" s="153"/>
      <c r="I222" s="153"/>
      <c r="J222" s="153"/>
      <c r="K222" s="153"/>
      <c r="L222" s="6"/>
      <c r="M222" s="6"/>
      <c r="N222" s="6"/>
      <c r="O222" s="6"/>
      <c r="P222" s="6"/>
      <c r="Q222" s="6"/>
      <c r="R222" s="6"/>
      <c r="S222" s="6"/>
    </row>
    <row r="223" spans="1:19" ht="18">
      <c r="A223" s="467"/>
      <c r="B223" s="465"/>
      <c r="C223" s="472" t="s">
        <v>508</v>
      </c>
      <c r="E223" s="474">
        <v>2.68</v>
      </c>
      <c r="F223" s="154"/>
      <c r="G223" s="6"/>
      <c r="H223" s="6"/>
      <c r="I223" s="6"/>
      <c r="J223" s="6"/>
      <c r="K223" s="6"/>
      <c r="L223" s="6"/>
      <c r="M223" s="6"/>
      <c r="N223" s="6"/>
      <c r="O223" s="6"/>
      <c r="P223" s="6"/>
      <c r="Q223" s="6"/>
      <c r="R223" s="6"/>
      <c r="S223" s="6"/>
    </row>
    <row r="224" spans="1:19" ht="18">
      <c r="A224" s="467"/>
      <c r="B224" s="465"/>
      <c r="C224" s="472" t="s">
        <v>509</v>
      </c>
      <c r="E224" s="474">
        <v>1.54</v>
      </c>
      <c r="F224" s="154"/>
      <c r="G224" s="6"/>
      <c r="H224" s="6"/>
      <c r="I224" s="6"/>
      <c r="J224" s="6"/>
      <c r="K224" s="6"/>
      <c r="L224" s="6"/>
      <c r="M224" s="6"/>
      <c r="N224" s="6"/>
      <c r="O224" s="6"/>
      <c r="P224" s="6"/>
      <c r="Q224" s="6"/>
      <c r="R224" s="6"/>
      <c r="S224" s="6"/>
    </row>
    <row r="225" spans="1:19" ht="18">
      <c r="A225" s="467"/>
      <c r="B225" s="465"/>
      <c r="C225" s="472" t="s">
        <v>510</v>
      </c>
      <c r="E225" s="474">
        <v>3.51</v>
      </c>
      <c r="F225" s="154"/>
      <c r="G225" s="6"/>
      <c r="H225" s="6"/>
      <c r="I225" s="6"/>
      <c r="J225" s="6"/>
      <c r="K225" s="6"/>
      <c r="L225" s="6"/>
      <c r="M225" s="6"/>
      <c r="N225" s="6"/>
      <c r="O225" s="6"/>
      <c r="P225" s="6"/>
      <c r="Q225" s="6"/>
      <c r="R225" s="6"/>
      <c r="S225" s="6"/>
    </row>
    <row r="226" spans="1:19" ht="18">
      <c r="A226" s="467"/>
      <c r="B226" s="465"/>
      <c r="C226" s="472" t="s">
        <v>511</v>
      </c>
      <c r="E226" s="474">
        <v>3.19</v>
      </c>
      <c r="F226" s="154"/>
      <c r="G226" s="6"/>
      <c r="H226" s="6"/>
      <c r="I226" s="6"/>
      <c r="J226" s="6"/>
      <c r="K226" s="6"/>
      <c r="L226" s="6"/>
      <c r="M226" s="6"/>
      <c r="N226" s="6"/>
      <c r="O226" s="6"/>
      <c r="P226" s="6"/>
      <c r="Q226" s="6"/>
      <c r="R226" s="6"/>
      <c r="S226" s="6"/>
    </row>
    <row r="227" spans="1:19" ht="18">
      <c r="A227" s="466"/>
      <c r="B227" s="465"/>
      <c r="C227" s="468" t="s">
        <v>512</v>
      </c>
      <c r="E227" s="475">
        <v>2.05</v>
      </c>
      <c r="F227" s="154"/>
      <c r="G227" s="6"/>
      <c r="H227" s="6"/>
      <c r="I227" s="6"/>
      <c r="J227" s="6"/>
      <c r="K227" s="6"/>
      <c r="L227" s="6"/>
      <c r="M227" s="6"/>
      <c r="N227" s="6"/>
      <c r="O227" s="6"/>
      <c r="P227" s="6"/>
      <c r="Q227" s="6"/>
      <c r="R227" s="6"/>
      <c r="S227" s="6"/>
    </row>
    <row r="228" spans="1:19" ht="18">
      <c r="A228" s="466"/>
      <c r="B228" s="465"/>
      <c r="C228" s="468" t="s">
        <v>513</v>
      </c>
      <c r="E228" s="475">
        <v>1.5</v>
      </c>
      <c r="F228" s="154"/>
      <c r="G228" s="6"/>
      <c r="H228" s="6"/>
      <c r="I228" s="6"/>
      <c r="J228" s="6"/>
      <c r="K228" s="6"/>
      <c r="L228" s="6"/>
      <c r="M228" s="6"/>
      <c r="N228" s="6"/>
      <c r="O228" s="6"/>
      <c r="P228" s="6"/>
      <c r="Q228" s="6"/>
      <c r="R228" s="6"/>
      <c r="S228" s="6"/>
    </row>
    <row r="229" spans="1:19" ht="18">
      <c r="A229" s="466"/>
      <c r="B229" s="465"/>
      <c r="C229" s="468" t="s">
        <v>514</v>
      </c>
      <c r="E229" s="475">
        <v>2.1</v>
      </c>
      <c r="F229" s="154"/>
      <c r="G229" s="6"/>
      <c r="H229" s="6"/>
      <c r="I229" s="6"/>
      <c r="J229" s="6"/>
      <c r="K229" s="6"/>
      <c r="L229" s="6"/>
      <c r="M229" s="6"/>
      <c r="N229" s="6"/>
      <c r="O229" s="6"/>
      <c r="P229" s="6"/>
      <c r="Q229" s="6"/>
      <c r="R229" s="6"/>
      <c r="S229" s="6"/>
    </row>
    <row r="230" spans="1:19" ht="18">
      <c r="A230" s="466"/>
      <c r="B230" s="465"/>
      <c r="C230" s="468" t="s">
        <v>515</v>
      </c>
      <c r="E230" s="475">
        <v>1.56</v>
      </c>
      <c r="F230" s="154"/>
      <c r="G230" s="6"/>
      <c r="H230" s="6"/>
      <c r="I230" s="6"/>
      <c r="J230" s="6"/>
      <c r="K230" s="6"/>
      <c r="L230" s="6"/>
      <c r="M230" s="6"/>
      <c r="N230" s="6"/>
      <c r="O230" s="6"/>
      <c r="P230" s="6"/>
      <c r="Q230" s="6"/>
      <c r="R230" s="6"/>
      <c r="S230" s="6"/>
    </row>
    <row r="231" spans="1:19" ht="17.25">
      <c r="A231" s="469" t="s">
        <v>516</v>
      </c>
      <c r="B231" s="465"/>
      <c r="C231" s="468" t="s">
        <v>478</v>
      </c>
      <c r="D231" s="466"/>
      <c r="E231" s="154"/>
      <c r="F231" s="154"/>
      <c r="G231" s="6"/>
      <c r="H231" s="6"/>
      <c r="I231" s="6"/>
      <c r="J231" s="6"/>
      <c r="K231" s="6"/>
      <c r="L231" s="6"/>
      <c r="M231" s="6"/>
      <c r="N231" s="6"/>
      <c r="O231" s="6"/>
      <c r="P231" s="6"/>
      <c r="Q231" s="6"/>
      <c r="R231" s="6"/>
      <c r="S231" s="6"/>
    </row>
    <row r="232" spans="1:19" ht="17.25">
      <c r="A232" s="466"/>
      <c r="B232" s="465"/>
      <c r="C232" s="468" t="s">
        <v>477</v>
      </c>
      <c r="D232" s="466"/>
      <c r="E232" s="154"/>
      <c r="F232" s="154"/>
      <c r="G232" s="6"/>
      <c r="H232" s="6"/>
      <c r="I232" s="6"/>
      <c r="J232" s="6"/>
      <c r="K232" s="6"/>
      <c r="L232" s="6"/>
      <c r="M232" s="6"/>
      <c r="N232" s="6"/>
      <c r="O232" s="6"/>
      <c r="P232" s="6"/>
      <c r="Q232" s="6"/>
      <c r="R232" s="6"/>
      <c r="S232" s="6"/>
    </row>
    <row r="233" spans="1:19" ht="18">
      <c r="A233" s="466"/>
      <c r="B233" s="465"/>
      <c r="C233" s="466" t="s">
        <v>517</v>
      </c>
      <c r="E233" s="473">
        <v>11954431.08</v>
      </c>
      <c r="F233" s="154"/>
      <c r="G233" s="6"/>
      <c r="H233" s="6"/>
      <c r="I233" s="6"/>
      <c r="J233" s="6"/>
      <c r="K233" s="6"/>
      <c r="L233" s="6"/>
      <c r="M233" s="6"/>
      <c r="N233" s="6"/>
      <c r="O233" s="6"/>
      <c r="P233" s="6"/>
      <c r="Q233" s="6"/>
      <c r="R233" s="6"/>
      <c r="S233" s="6"/>
    </row>
    <row r="234" spans="1:19" ht="17.25">
      <c r="A234" s="469"/>
      <c r="B234" s="465"/>
      <c r="C234" s="466"/>
      <c r="D234" s="466"/>
      <c r="E234" s="154"/>
      <c r="F234" s="154"/>
      <c r="G234" s="6"/>
      <c r="H234" s="6"/>
      <c r="I234" s="6"/>
      <c r="J234" s="6"/>
      <c r="K234" s="6"/>
      <c r="L234" s="6"/>
      <c r="M234" s="6"/>
      <c r="N234" s="6"/>
      <c r="O234" s="6"/>
      <c r="P234" s="6"/>
      <c r="Q234" s="6"/>
      <c r="R234" s="6"/>
      <c r="S234" s="6"/>
    </row>
    <row r="235" spans="1:19" ht="17.25">
      <c r="A235" s="465"/>
      <c r="B235" s="465"/>
      <c r="C235" s="466"/>
      <c r="D235" s="466"/>
      <c r="E235" s="154"/>
      <c r="F235" s="154"/>
      <c r="G235" s="6"/>
      <c r="H235" s="6"/>
      <c r="I235" s="6"/>
      <c r="J235" s="6"/>
      <c r="K235" s="6"/>
      <c r="L235" s="6"/>
      <c r="M235" s="6"/>
      <c r="N235" s="6"/>
      <c r="O235" s="6"/>
      <c r="P235" s="6"/>
      <c r="Q235" s="6"/>
      <c r="R235" s="6"/>
      <c r="S235" s="6"/>
    </row>
    <row r="236" spans="3:19" ht="15">
      <c r="C236" s="6"/>
      <c r="D236" s="6"/>
      <c r="E236" s="6"/>
      <c r="F236" s="6"/>
      <c r="G236" s="6"/>
      <c r="H236" s="6"/>
      <c r="I236" s="6"/>
      <c r="J236" s="6"/>
      <c r="K236" s="6"/>
      <c r="L236" s="6"/>
      <c r="M236" s="6"/>
      <c r="N236" s="6"/>
      <c r="O236" s="6"/>
      <c r="P236" s="6"/>
      <c r="Q236" s="6"/>
      <c r="R236" s="6"/>
      <c r="S236" s="6"/>
    </row>
    <row r="237" spans="3:19" ht="15">
      <c r="C237" s="6"/>
      <c r="D237" s="6"/>
      <c r="E237" s="6"/>
      <c r="F237" s="6"/>
      <c r="G237" s="6"/>
      <c r="H237" s="6"/>
      <c r="I237" s="6"/>
      <c r="J237" s="6"/>
      <c r="K237" s="6"/>
      <c r="L237" s="6"/>
      <c r="M237" s="6"/>
      <c r="N237" s="6"/>
      <c r="O237" s="6"/>
      <c r="P237" s="6"/>
      <c r="Q237" s="6"/>
      <c r="R237" s="6"/>
      <c r="S237" s="6"/>
    </row>
    <row r="238" spans="3:19" ht="15">
      <c r="C238" s="6"/>
      <c r="D238" s="6"/>
      <c r="E238" s="6"/>
      <c r="F238" s="6"/>
      <c r="G238" s="6"/>
      <c r="H238" s="6"/>
      <c r="I238" s="6"/>
      <c r="J238" s="6"/>
      <c r="K238" s="6"/>
      <c r="L238" s="6"/>
      <c r="M238" s="6"/>
      <c r="N238" s="6"/>
      <c r="O238" s="6"/>
      <c r="P238" s="6"/>
      <c r="Q238" s="6"/>
      <c r="R238" s="6"/>
      <c r="S238" s="6"/>
    </row>
    <row r="239" spans="3:19" ht="15">
      <c r="C239" s="6"/>
      <c r="D239" s="6"/>
      <c r="E239" s="6"/>
      <c r="F239" s="6"/>
      <c r="G239" s="6"/>
      <c r="H239" s="6"/>
      <c r="I239" s="6"/>
      <c r="J239" s="6"/>
      <c r="K239" s="6"/>
      <c r="L239" s="6"/>
      <c r="M239" s="6"/>
      <c r="N239" s="6"/>
      <c r="O239" s="6"/>
      <c r="P239" s="6"/>
      <c r="Q239" s="6"/>
      <c r="R239" s="6"/>
      <c r="S239" s="6"/>
    </row>
    <row r="240" spans="3:19" ht="15">
      <c r="C240" s="6"/>
      <c r="D240" s="6"/>
      <c r="E240" s="6"/>
      <c r="F240" s="6"/>
      <c r="G240" s="6"/>
      <c r="H240" s="6"/>
      <c r="I240" s="6"/>
      <c r="J240" s="6"/>
      <c r="K240" s="6"/>
      <c r="L240" s="6"/>
      <c r="M240" s="6"/>
      <c r="N240" s="6"/>
      <c r="O240" s="6"/>
      <c r="P240" s="6"/>
      <c r="Q240" s="6"/>
      <c r="R240" s="6"/>
      <c r="S240" s="6"/>
    </row>
    <row r="241" spans="3:19" ht="15">
      <c r="C241" s="6"/>
      <c r="D241" s="6"/>
      <c r="E241" s="6"/>
      <c r="F241" s="6"/>
      <c r="G241" s="6"/>
      <c r="H241" s="6"/>
      <c r="I241" s="6"/>
      <c r="J241" s="6"/>
      <c r="K241" s="6"/>
      <c r="L241" s="6"/>
      <c r="M241" s="6"/>
      <c r="N241" s="6"/>
      <c r="O241" s="6"/>
      <c r="P241" s="6"/>
      <c r="Q241" s="6"/>
      <c r="R241" s="6"/>
      <c r="S241" s="6"/>
    </row>
    <row r="242" spans="3:19" ht="15">
      <c r="C242" s="6"/>
      <c r="D242" s="6"/>
      <c r="E242" s="6"/>
      <c r="F242" s="6"/>
      <c r="G242" s="6"/>
      <c r="H242" s="6"/>
      <c r="I242" s="6"/>
      <c r="J242" s="6"/>
      <c r="K242" s="6"/>
      <c r="L242" s="6"/>
      <c r="M242" s="6"/>
      <c r="N242" s="6"/>
      <c r="O242" s="6"/>
      <c r="P242" s="6"/>
      <c r="Q242" s="6"/>
      <c r="R242" s="6"/>
      <c r="S242" s="6"/>
    </row>
    <row r="243" spans="3:19" ht="15">
      <c r="C243" s="6"/>
      <c r="D243" s="6"/>
      <c r="E243" s="6"/>
      <c r="F243" s="6"/>
      <c r="G243" s="6"/>
      <c r="H243" s="6"/>
      <c r="I243" s="6"/>
      <c r="J243" s="6"/>
      <c r="K243" s="6"/>
      <c r="L243" s="6"/>
      <c r="M243" s="6"/>
      <c r="N243" s="6"/>
      <c r="O243" s="6"/>
      <c r="P243" s="6"/>
      <c r="Q243" s="6"/>
      <c r="R243" s="6"/>
      <c r="S243" s="6"/>
    </row>
    <row r="244" spans="3:19" ht="15">
      <c r="C244" s="6"/>
      <c r="D244" s="6"/>
      <c r="E244" s="6"/>
      <c r="F244" s="6"/>
      <c r="G244" s="6"/>
      <c r="H244" s="6"/>
      <c r="I244" s="6"/>
      <c r="J244" s="6"/>
      <c r="K244" s="6"/>
      <c r="L244" s="6"/>
      <c r="M244" s="6"/>
      <c r="N244" s="6"/>
      <c r="O244" s="6"/>
      <c r="P244" s="6"/>
      <c r="Q244" s="6"/>
      <c r="R244" s="6"/>
      <c r="S244" s="6"/>
    </row>
    <row r="245" spans="3:19" ht="15">
      <c r="C245" s="6"/>
      <c r="D245" s="6"/>
      <c r="E245" s="6"/>
      <c r="F245" s="6"/>
      <c r="G245" s="6"/>
      <c r="H245" s="6"/>
      <c r="I245" s="6"/>
      <c r="J245" s="6"/>
      <c r="K245" s="6"/>
      <c r="L245" s="6"/>
      <c r="M245" s="6"/>
      <c r="N245" s="6"/>
      <c r="O245" s="6"/>
      <c r="P245" s="6"/>
      <c r="Q245" s="6"/>
      <c r="R245" s="6"/>
      <c r="S245" s="6"/>
    </row>
    <row r="246" spans="3:19" ht="15">
      <c r="C246" s="6"/>
      <c r="D246" s="6"/>
      <c r="E246" s="6"/>
      <c r="F246" s="6"/>
      <c r="G246" s="6"/>
      <c r="H246" s="6"/>
      <c r="I246" s="6"/>
      <c r="J246" s="6"/>
      <c r="K246" s="6"/>
      <c r="L246" s="6"/>
      <c r="M246" s="6"/>
      <c r="N246" s="6"/>
      <c r="O246" s="6"/>
      <c r="P246" s="6"/>
      <c r="Q246" s="6"/>
      <c r="R246" s="6"/>
      <c r="S246" s="6"/>
    </row>
    <row r="247" spans="3:19" ht="15">
      <c r="C247" s="6"/>
      <c r="D247" s="6"/>
      <c r="E247" s="6"/>
      <c r="F247" s="6"/>
      <c r="G247" s="6"/>
      <c r="H247" s="6"/>
      <c r="I247" s="6"/>
      <c r="J247" s="6"/>
      <c r="K247" s="6"/>
      <c r="L247" s="6"/>
      <c r="M247" s="6"/>
      <c r="N247" s="6"/>
      <c r="O247" s="6"/>
      <c r="P247" s="6"/>
      <c r="Q247" s="6"/>
      <c r="R247" s="6"/>
      <c r="S247" s="6"/>
    </row>
    <row r="248" spans="3:19" ht="15">
      <c r="C248" s="6"/>
      <c r="D248" s="6"/>
      <c r="E248" s="6"/>
      <c r="F248" s="6"/>
      <c r="G248" s="6"/>
      <c r="H248" s="6"/>
      <c r="I248" s="6"/>
      <c r="J248" s="6"/>
      <c r="K248" s="6"/>
      <c r="L248" s="6"/>
      <c r="M248" s="6"/>
      <c r="N248" s="6"/>
      <c r="O248" s="6"/>
      <c r="P248" s="6"/>
      <c r="Q248" s="6"/>
      <c r="R248" s="6"/>
      <c r="S248" s="6"/>
    </row>
    <row r="249" spans="3:19" ht="15">
      <c r="C249" s="6"/>
      <c r="D249" s="6"/>
      <c r="E249" s="6"/>
      <c r="F249" s="6"/>
      <c r="G249" s="6"/>
      <c r="H249" s="6"/>
      <c r="I249" s="6"/>
      <c r="J249" s="6"/>
      <c r="K249" s="6"/>
      <c r="L249" s="6"/>
      <c r="M249" s="6"/>
      <c r="N249" s="6"/>
      <c r="O249" s="6"/>
      <c r="P249" s="6"/>
      <c r="Q249" s="6"/>
      <c r="R249" s="6"/>
      <c r="S249" s="6"/>
    </row>
    <row r="250" spans="3:19" ht="15">
      <c r="C250" s="6"/>
      <c r="D250" s="6"/>
      <c r="E250" s="6"/>
      <c r="F250" s="6"/>
      <c r="G250" s="6"/>
      <c r="H250" s="6"/>
      <c r="I250" s="6"/>
      <c r="J250" s="6"/>
      <c r="K250" s="6"/>
      <c r="L250" s="6"/>
      <c r="M250" s="6"/>
      <c r="N250" s="6"/>
      <c r="O250" s="6"/>
      <c r="P250" s="6"/>
      <c r="Q250" s="6"/>
      <c r="R250" s="6"/>
      <c r="S250" s="6"/>
    </row>
    <row r="251" spans="3:19" ht="15">
      <c r="C251" s="6"/>
      <c r="D251" s="6"/>
      <c r="E251" s="6"/>
      <c r="F251" s="6"/>
      <c r="G251" s="6"/>
      <c r="H251" s="6"/>
      <c r="I251" s="6"/>
      <c r="J251" s="6"/>
      <c r="K251" s="6"/>
      <c r="L251" s="6"/>
      <c r="M251" s="6"/>
      <c r="N251" s="6"/>
      <c r="O251" s="6"/>
      <c r="P251" s="6"/>
      <c r="Q251" s="6"/>
      <c r="R251" s="6"/>
      <c r="S251" s="6"/>
    </row>
    <row r="252" spans="3:19" ht="15">
      <c r="C252" s="6"/>
      <c r="D252" s="6"/>
      <c r="E252" s="6"/>
      <c r="F252" s="6"/>
      <c r="G252" s="6"/>
      <c r="H252" s="6"/>
      <c r="I252" s="6"/>
      <c r="J252" s="6"/>
      <c r="K252" s="6"/>
      <c r="L252" s="6"/>
      <c r="M252" s="6"/>
      <c r="N252" s="6"/>
      <c r="O252" s="6"/>
      <c r="P252" s="6"/>
      <c r="Q252" s="6"/>
      <c r="R252" s="6"/>
      <c r="S252" s="6"/>
    </row>
    <row r="253" spans="3:19" ht="15">
      <c r="C253" s="6"/>
      <c r="D253" s="6"/>
      <c r="E253" s="6"/>
      <c r="F253" s="6"/>
      <c r="G253" s="6"/>
      <c r="H253" s="6"/>
      <c r="I253" s="6"/>
      <c r="J253" s="6"/>
      <c r="K253" s="6"/>
      <c r="L253" s="6"/>
      <c r="M253" s="6"/>
      <c r="N253" s="6"/>
      <c r="O253" s="6"/>
      <c r="P253" s="6"/>
      <c r="Q253" s="6"/>
      <c r="R253" s="6"/>
      <c r="S253" s="6"/>
    </row>
    <row r="254" spans="3:19" ht="15">
      <c r="C254" s="6"/>
      <c r="D254" s="6"/>
      <c r="E254" s="6"/>
      <c r="F254" s="6"/>
      <c r="G254" s="6"/>
      <c r="H254" s="6"/>
      <c r="I254" s="6"/>
      <c r="J254" s="6"/>
      <c r="K254" s="6"/>
      <c r="L254" s="6"/>
      <c r="M254" s="6"/>
      <c r="N254" s="6"/>
      <c r="O254" s="6"/>
      <c r="P254" s="6"/>
      <c r="Q254" s="6"/>
      <c r="R254" s="6"/>
      <c r="S254" s="6"/>
    </row>
    <row r="255" spans="3:19" ht="15">
      <c r="C255" s="6"/>
      <c r="D255" s="6"/>
      <c r="E255" s="6"/>
      <c r="F255" s="6"/>
      <c r="G255" s="6"/>
      <c r="H255" s="6"/>
      <c r="I255" s="6"/>
      <c r="J255" s="6"/>
      <c r="K255" s="6"/>
      <c r="L255" s="6"/>
      <c r="M255" s="6"/>
      <c r="N255" s="6"/>
      <c r="O255" s="6"/>
      <c r="P255" s="6"/>
      <c r="Q255" s="6"/>
      <c r="R255" s="6"/>
      <c r="S255" s="6"/>
    </row>
    <row r="256" spans="3:19" ht="15">
      <c r="C256" s="6"/>
      <c r="D256" s="6"/>
      <c r="E256" s="6"/>
      <c r="F256" s="6"/>
      <c r="G256" s="6"/>
      <c r="H256" s="6"/>
      <c r="I256" s="6"/>
      <c r="J256" s="6"/>
      <c r="K256" s="6"/>
      <c r="L256" s="6"/>
      <c r="M256" s="6"/>
      <c r="N256" s="6"/>
      <c r="O256" s="6"/>
      <c r="P256" s="6"/>
      <c r="Q256" s="6"/>
      <c r="R256" s="6"/>
      <c r="S256" s="6"/>
    </row>
    <row r="257" spans="3:19" ht="15">
      <c r="C257" s="6"/>
      <c r="D257" s="6"/>
      <c r="E257" s="6"/>
      <c r="F257" s="6"/>
      <c r="G257" s="6"/>
      <c r="H257" s="6"/>
      <c r="I257" s="6"/>
      <c r="J257" s="6"/>
      <c r="K257" s="6"/>
      <c r="L257" s="6"/>
      <c r="M257" s="6"/>
      <c r="N257" s="6"/>
      <c r="O257" s="6"/>
      <c r="P257" s="6"/>
      <c r="Q257" s="6"/>
      <c r="R257" s="6"/>
      <c r="S257" s="6"/>
    </row>
    <row r="258" spans="3:19" ht="15">
      <c r="C258" s="6"/>
      <c r="D258" s="6"/>
      <c r="E258" s="6"/>
      <c r="F258" s="6"/>
      <c r="G258" s="6"/>
      <c r="H258" s="6"/>
      <c r="I258" s="6"/>
      <c r="J258" s="6"/>
      <c r="K258" s="6"/>
      <c r="L258" s="6"/>
      <c r="M258" s="6"/>
      <c r="N258" s="6"/>
      <c r="O258" s="6"/>
      <c r="P258" s="6"/>
      <c r="Q258" s="6"/>
      <c r="R258" s="6"/>
      <c r="S258" s="6"/>
    </row>
    <row r="259" spans="3:19" ht="15">
      <c r="C259" s="6"/>
      <c r="D259" s="6"/>
      <c r="E259" s="6"/>
      <c r="F259" s="6"/>
      <c r="G259" s="6"/>
      <c r="H259" s="6"/>
      <c r="I259" s="6"/>
      <c r="J259" s="6"/>
      <c r="K259" s="6"/>
      <c r="L259" s="6"/>
      <c r="M259" s="6"/>
      <c r="N259" s="6"/>
      <c r="O259" s="6"/>
      <c r="P259" s="6"/>
      <c r="Q259" s="6"/>
      <c r="R259" s="6"/>
      <c r="S259" s="6"/>
    </row>
    <row r="260" spans="3:19" ht="15">
      <c r="C260" s="6"/>
      <c r="D260" s="6"/>
      <c r="E260" s="6"/>
      <c r="F260" s="6"/>
      <c r="G260" s="6"/>
      <c r="H260" s="6"/>
      <c r="I260" s="6"/>
      <c r="J260" s="6"/>
      <c r="K260" s="6"/>
      <c r="L260" s="6"/>
      <c r="M260" s="6"/>
      <c r="N260" s="6"/>
      <c r="O260" s="6"/>
      <c r="P260" s="6"/>
      <c r="Q260" s="6"/>
      <c r="R260" s="6"/>
      <c r="S260" s="6"/>
    </row>
    <row r="261" spans="3:19" ht="15">
      <c r="C261" s="6"/>
      <c r="D261" s="6"/>
      <c r="E261" s="6"/>
      <c r="F261" s="6"/>
      <c r="G261" s="6"/>
      <c r="H261" s="6"/>
      <c r="I261" s="6"/>
      <c r="J261" s="6"/>
      <c r="K261" s="6"/>
      <c r="L261" s="6"/>
      <c r="M261" s="6"/>
      <c r="N261" s="6"/>
      <c r="O261" s="6"/>
      <c r="P261" s="6"/>
      <c r="Q261" s="6"/>
      <c r="R261" s="6"/>
      <c r="S261" s="6"/>
    </row>
    <row r="262" spans="3:19" ht="15">
      <c r="C262" s="6"/>
      <c r="D262" s="6"/>
      <c r="E262" s="6"/>
      <c r="F262" s="6"/>
      <c r="G262" s="6"/>
      <c r="H262" s="6"/>
      <c r="I262" s="6"/>
      <c r="J262" s="6"/>
      <c r="K262" s="6"/>
      <c r="L262" s="6"/>
      <c r="M262" s="6"/>
      <c r="N262" s="6"/>
      <c r="O262" s="6"/>
      <c r="P262" s="6"/>
      <c r="Q262" s="6"/>
      <c r="R262" s="6"/>
      <c r="S262" s="6"/>
    </row>
    <row r="263" spans="3:19" ht="15">
      <c r="C263" s="6"/>
      <c r="D263" s="6"/>
      <c r="E263" s="6"/>
      <c r="F263" s="6"/>
      <c r="G263" s="6"/>
      <c r="H263" s="6"/>
      <c r="I263" s="6"/>
      <c r="J263" s="6"/>
      <c r="K263" s="6"/>
      <c r="L263" s="6"/>
      <c r="M263" s="6"/>
      <c r="N263" s="6"/>
      <c r="O263" s="6"/>
      <c r="P263" s="6"/>
      <c r="Q263" s="6"/>
      <c r="R263" s="6"/>
      <c r="S263" s="6"/>
    </row>
    <row r="264" spans="3:19" ht="15">
      <c r="C264" s="6"/>
      <c r="D264" s="6"/>
      <c r="E264" s="6"/>
      <c r="F264" s="6"/>
      <c r="G264" s="6"/>
      <c r="H264" s="6"/>
      <c r="I264" s="6"/>
      <c r="J264" s="6"/>
      <c r="K264" s="6"/>
      <c r="L264" s="6"/>
      <c r="M264" s="6"/>
      <c r="N264" s="6"/>
      <c r="O264" s="6"/>
      <c r="P264" s="6"/>
      <c r="Q264" s="6"/>
      <c r="R264" s="6"/>
      <c r="S264" s="6"/>
    </row>
    <row r="265" spans="3:19" ht="15">
      <c r="C265" s="6"/>
      <c r="D265" s="6"/>
      <c r="E265" s="6"/>
      <c r="F265" s="6"/>
      <c r="G265" s="6"/>
      <c r="H265" s="6"/>
      <c r="I265" s="6"/>
      <c r="J265" s="6"/>
      <c r="K265" s="6"/>
      <c r="L265" s="6"/>
      <c r="M265" s="6"/>
      <c r="N265" s="6"/>
      <c r="O265" s="6"/>
      <c r="P265" s="6"/>
      <c r="Q265" s="6"/>
      <c r="R265" s="6"/>
      <c r="S265" s="6"/>
    </row>
    <row r="266" spans="3:19" ht="15">
      <c r="C266" s="6"/>
      <c r="D266" s="6"/>
      <c r="E266" s="6"/>
      <c r="F266" s="6"/>
      <c r="G266" s="6"/>
      <c r="H266" s="6"/>
      <c r="I266" s="6"/>
      <c r="J266" s="6"/>
      <c r="K266" s="6"/>
      <c r="L266" s="6"/>
      <c r="M266" s="6"/>
      <c r="N266" s="6"/>
      <c r="O266" s="6"/>
      <c r="P266" s="6"/>
      <c r="Q266" s="6"/>
      <c r="R266" s="6"/>
      <c r="S266" s="6"/>
    </row>
    <row r="267" spans="3:19" ht="15">
      <c r="C267" s="6"/>
      <c r="D267" s="6"/>
      <c r="E267" s="6"/>
      <c r="F267" s="6"/>
      <c r="G267" s="6"/>
      <c r="H267" s="6"/>
      <c r="I267" s="6"/>
      <c r="J267" s="6"/>
      <c r="K267" s="6"/>
      <c r="L267" s="6"/>
      <c r="M267" s="6"/>
      <c r="N267" s="6"/>
      <c r="O267" s="6"/>
      <c r="P267" s="6"/>
      <c r="Q267" s="6"/>
      <c r="R267" s="6"/>
      <c r="S267" s="6"/>
    </row>
    <row r="268" spans="3:19" ht="15">
      <c r="C268" s="6"/>
      <c r="D268" s="6"/>
      <c r="E268" s="6"/>
      <c r="F268" s="6"/>
      <c r="G268" s="6"/>
      <c r="H268" s="6"/>
      <c r="I268" s="6"/>
      <c r="J268" s="6"/>
      <c r="K268" s="6"/>
      <c r="L268" s="6"/>
      <c r="M268" s="6"/>
      <c r="N268" s="6"/>
      <c r="O268" s="6"/>
      <c r="P268" s="6"/>
      <c r="Q268" s="6"/>
      <c r="R268" s="6"/>
      <c r="S268" s="6"/>
    </row>
    <row r="269" spans="3:19" ht="15">
      <c r="C269" s="6"/>
      <c r="D269" s="6"/>
      <c r="E269" s="6"/>
      <c r="F269" s="6"/>
      <c r="G269" s="6"/>
      <c r="H269" s="6"/>
      <c r="I269" s="6"/>
      <c r="J269" s="6"/>
      <c r="K269" s="6"/>
      <c r="L269" s="6"/>
      <c r="M269" s="6"/>
      <c r="N269" s="6"/>
      <c r="O269" s="6"/>
      <c r="P269" s="6"/>
      <c r="Q269" s="6"/>
      <c r="R269" s="6"/>
      <c r="S269" s="6"/>
    </row>
    <row r="270" spans="3:19" ht="15">
      <c r="C270" s="6"/>
      <c r="D270" s="6"/>
      <c r="E270" s="6"/>
      <c r="F270" s="6"/>
      <c r="G270" s="6"/>
      <c r="H270" s="6"/>
      <c r="I270" s="6"/>
      <c r="J270" s="6"/>
      <c r="K270" s="6"/>
      <c r="L270" s="6"/>
      <c r="M270" s="6"/>
      <c r="N270" s="6"/>
      <c r="O270" s="6"/>
      <c r="P270" s="6"/>
      <c r="Q270" s="6"/>
      <c r="R270" s="6"/>
      <c r="S270" s="6"/>
    </row>
    <row r="271" spans="3:19" ht="15">
      <c r="C271" s="6"/>
      <c r="D271" s="6"/>
      <c r="E271" s="6"/>
      <c r="F271" s="6"/>
      <c r="G271" s="6"/>
      <c r="H271" s="6"/>
      <c r="I271" s="6"/>
      <c r="J271" s="6"/>
      <c r="K271" s="6"/>
      <c r="L271" s="6"/>
      <c r="M271" s="6"/>
      <c r="N271" s="6"/>
      <c r="O271" s="6"/>
      <c r="P271" s="6"/>
      <c r="Q271" s="6"/>
      <c r="R271" s="6"/>
      <c r="S271" s="6"/>
    </row>
    <row r="272" spans="3:19" ht="15">
      <c r="C272" s="6"/>
      <c r="D272" s="6"/>
      <c r="E272" s="6"/>
      <c r="F272" s="6"/>
      <c r="G272" s="6"/>
      <c r="H272" s="6"/>
      <c r="I272" s="6"/>
      <c r="J272" s="6"/>
      <c r="K272" s="6"/>
      <c r="L272" s="6"/>
      <c r="M272" s="6"/>
      <c r="N272" s="6"/>
      <c r="O272" s="6"/>
      <c r="P272" s="6"/>
      <c r="Q272" s="6"/>
      <c r="R272" s="6"/>
      <c r="S272" s="6"/>
    </row>
    <row r="273" spans="3:19" ht="15">
      <c r="C273" s="6"/>
      <c r="D273" s="6"/>
      <c r="E273" s="6"/>
      <c r="F273" s="6"/>
      <c r="G273" s="6"/>
      <c r="H273" s="6"/>
      <c r="I273" s="6"/>
      <c r="J273" s="6"/>
      <c r="K273" s="6"/>
      <c r="L273" s="6"/>
      <c r="M273" s="6"/>
      <c r="N273" s="6"/>
      <c r="O273" s="6"/>
      <c r="P273" s="6"/>
      <c r="Q273" s="6"/>
      <c r="R273" s="6"/>
      <c r="S273" s="6"/>
    </row>
    <row r="274" spans="3:19" ht="15">
      <c r="C274" s="6"/>
      <c r="D274" s="6"/>
      <c r="E274" s="6"/>
      <c r="F274" s="6"/>
      <c r="G274" s="6"/>
      <c r="H274" s="6"/>
      <c r="I274" s="6"/>
      <c r="J274" s="6"/>
      <c r="K274" s="6"/>
      <c r="L274" s="6"/>
      <c r="M274" s="6"/>
      <c r="N274" s="6"/>
      <c r="O274" s="6"/>
      <c r="P274" s="6"/>
      <c r="Q274" s="6"/>
      <c r="R274" s="6"/>
      <c r="S274" s="6"/>
    </row>
    <row r="275" spans="3:19" ht="15">
      <c r="C275" s="6"/>
      <c r="D275" s="6"/>
      <c r="E275" s="6"/>
      <c r="F275" s="6"/>
      <c r="G275" s="6"/>
      <c r="H275" s="6"/>
      <c r="I275" s="6"/>
      <c r="J275" s="6"/>
      <c r="K275" s="6"/>
      <c r="L275" s="6"/>
      <c r="M275" s="6"/>
      <c r="N275" s="6"/>
      <c r="O275" s="6"/>
      <c r="P275" s="6"/>
      <c r="Q275" s="6"/>
      <c r="R275" s="6"/>
      <c r="S275" s="6"/>
    </row>
    <row r="276" spans="3:19" ht="15">
      <c r="C276" s="6"/>
      <c r="D276" s="6"/>
      <c r="E276" s="6"/>
      <c r="F276" s="6"/>
      <c r="G276" s="6"/>
      <c r="H276" s="6"/>
      <c r="I276" s="6"/>
      <c r="J276" s="6"/>
      <c r="K276" s="6"/>
      <c r="L276" s="6"/>
      <c r="M276" s="6"/>
      <c r="N276" s="6"/>
      <c r="O276" s="6"/>
      <c r="P276" s="6"/>
      <c r="Q276" s="6"/>
      <c r="R276" s="6"/>
      <c r="S276" s="6"/>
    </row>
    <row r="277" spans="3:19" ht="15">
      <c r="C277" s="6"/>
      <c r="D277" s="6"/>
      <c r="E277" s="6"/>
      <c r="F277" s="6"/>
      <c r="G277" s="6"/>
      <c r="H277" s="6"/>
      <c r="I277" s="6"/>
      <c r="J277" s="6"/>
      <c r="K277" s="6"/>
      <c r="L277" s="6"/>
      <c r="M277" s="6"/>
      <c r="N277" s="6"/>
      <c r="O277" s="6"/>
      <c r="P277" s="6"/>
      <c r="Q277" s="6"/>
      <c r="R277" s="6"/>
      <c r="S277" s="6"/>
    </row>
    <row r="278" spans="3:19" ht="15">
      <c r="C278" s="6"/>
      <c r="D278" s="6"/>
      <c r="E278" s="6"/>
      <c r="F278" s="6"/>
      <c r="G278" s="6"/>
      <c r="H278" s="6"/>
      <c r="I278" s="6"/>
      <c r="J278" s="6"/>
      <c r="K278" s="6"/>
      <c r="L278" s="6"/>
      <c r="M278" s="6"/>
      <c r="N278" s="6"/>
      <c r="O278" s="6"/>
      <c r="P278" s="6"/>
      <c r="Q278" s="6"/>
      <c r="R278" s="6"/>
      <c r="S278" s="6"/>
    </row>
    <row r="279" spans="3:19" ht="15">
      <c r="C279" s="6"/>
      <c r="D279" s="6"/>
      <c r="E279" s="6"/>
      <c r="F279" s="6"/>
      <c r="G279" s="6"/>
      <c r="H279" s="6"/>
      <c r="I279" s="6"/>
      <c r="J279" s="6"/>
      <c r="K279" s="6"/>
      <c r="L279" s="6"/>
      <c r="M279" s="6"/>
      <c r="N279" s="6"/>
      <c r="O279" s="6"/>
      <c r="P279" s="6"/>
      <c r="Q279" s="6"/>
      <c r="R279" s="6"/>
      <c r="S279" s="6"/>
    </row>
    <row r="280" spans="3:19" ht="15">
      <c r="C280" s="6"/>
      <c r="D280" s="6"/>
      <c r="E280" s="6"/>
      <c r="F280" s="6"/>
      <c r="G280" s="6"/>
      <c r="H280" s="6"/>
      <c r="I280" s="6"/>
      <c r="J280" s="6"/>
      <c r="K280" s="6"/>
      <c r="L280" s="6"/>
      <c r="M280" s="6"/>
      <c r="N280" s="6"/>
      <c r="O280" s="6"/>
      <c r="P280" s="6"/>
      <c r="Q280" s="6"/>
      <c r="R280" s="6"/>
      <c r="S280" s="6"/>
    </row>
    <row r="281" spans="3:19" ht="15">
      <c r="C281" s="6"/>
      <c r="D281" s="6"/>
      <c r="E281" s="6"/>
      <c r="F281" s="6"/>
      <c r="G281" s="6"/>
      <c r="H281" s="6"/>
      <c r="I281" s="6"/>
      <c r="J281" s="6"/>
      <c r="K281" s="6"/>
      <c r="L281" s="6"/>
      <c r="M281" s="6"/>
      <c r="N281" s="6"/>
      <c r="O281" s="6"/>
      <c r="P281" s="6"/>
      <c r="Q281" s="6"/>
      <c r="R281" s="6"/>
      <c r="S281" s="6"/>
    </row>
    <row r="282" spans="3:19" ht="15">
      <c r="C282" s="6"/>
      <c r="D282" s="6"/>
      <c r="E282" s="6"/>
      <c r="F282" s="6"/>
      <c r="G282" s="6"/>
      <c r="H282" s="6"/>
      <c r="I282" s="6"/>
      <c r="J282" s="6"/>
      <c r="K282" s="6"/>
      <c r="L282" s="6"/>
      <c r="M282" s="6"/>
      <c r="N282" s="6"/>
      <c r="O282" s="6"/>
      <c r="P282" s="6"/>
      <c r="Q282" s="6"/>
      <c r="R282" s="6"/>
      <c r="S282" s="6"/>
    </row>
    <row r="283" spans="3:19" ht="15">
      <c r="C283" s="6"/>
      <c r="D283" s="6"/>
      <c r="E283" s="6"/>
      <c r="F283" s="6"/>
      <c r="G283" s="6"/>
      <c r="H283" s="6"/>
      <c r="I283" s="6"/>
      <c r="J283" s="6"/>
      <c r="K283" s="6"/>
      <c r="L283" s="6"/>
      <c r="M283" s="6"/>
      <c r="N283" s="6"/>
      <c r="O283" s="6"/>
      <c r="P283" s="6"/>
      <c r="Q283" s="6"/>
      <c r="R283" s="6"/>
      <c r="S283" s="6"/>
    </row>
    <row r="284" spans="3:19" ht="15">
      <c r="C284" s="6"/>
      <c r="D284" s="6"/>
      <c r="E284" s="6"/>
      <c r="F284" s="6"/>
      <c r="G284" s="6"/>
      <c r="H284" s="6"/>
      <c r="I284" s="6"/>
      <c r="J284" s="6"/>
      <c r="K284" s="6"/>
      <c r="L284" s="6"/>
      <c r="M284" s="6"/>
      <c r="N284" s="6"/>
      <c r="O284" s="6"/>
      <c r="P284" s="6"/>
      <c r="Q284" s="6"/>
      <c r="R284" s="6"/>
      <c r="S284" s="6"/>
    </row>
    <row r="285" spans="3:19" ht="15">
      <c r="C285" s="6"/>
      <c r="D285" s="6"/>
      <c r="E285" s="6"/>
      <c r="F285" s="6"/>
      <c r="G285" s="6"/>
      <c r="H285" s="6"/>
      <c r="I285" s="6"/>
      <c r="J285" s="6"/>
      <c r="K285" s="6"/>
      <c r="L285" s="6"/>
      <c r="M285" s="6"/>
      <c r="N285" s="6"/>
      <c r="O285" s="6"/>
      <c r="P285" s="6"/>
      <c r="Q285" s="6"/>
      <c r="R285" s="6"/>
      <c r="S285" s="6"/>
    </row>
    <row r="286" spans="3:19" ht="15">
      <c r="C286" s="6"/>
      <c r="D286" s="6"/>
      <c r="E286" s="6"/>
      <c r="F286" s="6"/>
      <c r="G286" s="6"/>
      <c r="H286" s="6"/>
      <c r="I286" s="6"/>
      <c r="J286" s="6"/>
      <c r="K286" s="6"/>
      <c r="L286" s="6"/>
      <c r="M286" s="6"/>
      <c r="N286" s="6"/>
      <c r="O286" s="6"/>
      <c r="P286" s="6"/>
      <c r="Q286" s="6"/>
      <c r="R286" s="6"/>
      <c r="S286" s="6"/>
    </row>
    <row r="287" spans="3:19" ht="15">
      <c r="C287" s="6"/>
      <c r="D287" s="6"/>
      <c r="E287" s="6"/>
      <c r="F287" s="6"/>
      <c r="G287" s="6"/>
      <c r="H287" s="6"/>
      <c r="I287" s="6"/>
      <c r="J287" s="6"/>
      <c r="K287" s="6"/>
      <c r="L287" s="6"/>
      <c r="M287" s="6"/>
      <c r="N287" s="6"/>
      <c r="O287" s="6"/>
      <c r="P287" s="6"/>
      <c r="Q287" s="6"/>
      <c r="R287" s="6"/>
      <c r="S287" s="6"/>
    </row>
    <row r="288" spans="3:19" ht="15">
      <c r="C288" s="6"/>
      <c r="D288" s="6"/>
      <c r="E288" s="6"/>
      <c r="F288" s="6"/>
      <c r="G288" s="6"/>
      <c r="H288" s="6"/>
      <c r="I288" s="6"/>
      <c r="J288" s="6"/>
      <c r="K288" s="6"/>
      <c r="L288" s="6"/>
      <c r="M288" s="6"/>
      <c r="N288" s="6"/>
      <c r="O288" s="6"/>
      <c r="P288" s="6"/>
      <c r="Q288" s="6"/>
      <c r="R288" s="6"/>
      <c r="S288" s="6"/>
    </row>
    <row r="289" spans="3:19" ht="15">
      <c r="C289" s="6"/>
      <c r="D289" s="6"/>
      <c r="E289" s="6"/>
      <c r="F289" s="6"/>
      <c r="G289" s="6"/>
      <c r="H289" s="6"/>
      <c r="I289" s="6"/>
      <c r="J289" s="6"/>
      <c r="K289" s="6"/>
      <c r="L289" s="6"/>
      <c r="M289" s="6"/>
      <c r="N289" s="6"/>
      <c r="O289" s="6"/>
      <c r="P289" s="6"/>
      <c r="Q289" s="6"/>
      <c r="R289" s="6"/>
      <c r="S289" s="6"/>
    </row>
    <row r="290" spans="3:19" ht="15">
      <c r="C290" s="6"/>
      <c r="D290" s="6"/>
      <c r="E290" s="6"/>
      <c r="F290" s="6"/>
      <c r="G290" s="6"/>
      <c r="H290" s="6"/>
      <c r="I290" s="6"/>
      <c r="J290" s="6"/>
      <c r="K290" s="6"/>
      <c r="L290" s="6"/>
      <c r="M290" s="6"/>
      <c r="N290" s="6"/>
      <c r="O290" s="6"/>
      <c r="P290" s="6"/>
      <c r="Q290" s="6"/>
      <c r="R290" s="6"/>
      <c r="S290" s="6"/>
    </row>
    <row r="291" spans="3:19" ht="15">
      <c r="C291" s="6"/>
      <c r="D291" s="6"/>
      <c r="E291" s="6"/>
      <c r="F291" s="6"/>
      <c r="G291" s="6"/>
      <c r="H291" s="6"/>
      <c r="I291" s="6"/>
      <c r="J291" s="6"/>
      <c r="K291" s="6"/>
      <c r="L291" s="6"/>
      <c r="M291" s="6"/>
      <c r="N291" s="6"/>
      <c r="O291" s="6"/>
      <c r="P291" s="6"/>
      <c r="Q291" s="6"/>
      <c r="R291" s="6"/>
      <c r="S291" s="6"/>
    </row>
    <row r="292" spans="3:19" ht="15">
      <c r="C292" s="6"/>
      <c r="D292" s="6"/>
      <c r="E292" s="6"/>
      <c r="F292" s="6"/>
      <c r="G292" s="6"/>
      <c r="H292" s="6"/>
      <c r="I292" s="6"/>
      <c r="J292" s="6"/>
      <c r="K292" s="6"/>
      <c r="L292" s="6"/>
      <c r="M292" s="6"/>
      <c r="N292" s="6"/>
      <c r="O292" s="6"/>
      <c r="P292" s="6"/>
      <c r="Q292" s="6"/>
      <c r="R292" s="6"/>
      <c r="S292" s="6"/>
    </row>
    <row r="293" spans="3:19" ht="15">
      <c r="C293" s="6"/>
      <c r="D293" s="6"/>
      <c r="E293" s="6"/>
      <c r="F293" s="6"/>
      <c r="G293" s="6"/>
      <c r="H293" s="6"/>
      <c r="I293" s="6"/>
      <c r="J293" s="6"/>
      <c r="K293" s="6"/>
      <c r="L293" s="6"/>
      <c r="M293" s="6"/>
      <c r="N293" s="6"/>
      <c r="O293" s="6"/>
      <c r="P293" s="6"/>
      <c r="Q293" s="6"/>
      <c r="R293" s="6"/>
      <c r="S293" s="6"/>
    </row>
    <row r="294" spans="3:19" ht="15">
      <c r="C294" s="6"/>
      <c r="D294" s="6"/>
      <c r="E294" s="6"/>
      <c r="F294" s="6"/>
      <c r="G294" s="6"/>
      <c r="H294" s="6"/>
      <c r="I294" s="6"/>
      <c r="J294" s="6"/>
      <c r="K294" s="6"/>
      <c r="L294" s="6"/>
      <c r="M294" s="6"/>
      <c r="N294" s="6"/>
      <c r="O294" s="6"/>
      <c r="P294" s="6"/>
      <c r="Q294" s="6"/>
      <c r="R294" s="6"/>
      <c r="S294" s="6"/>
    </row>
    <row r="295" spans="3:19" ht="15">
      <c r="C295" s="6"/>
      <c r="D295" s="6"/>
      <c r="E295" s="6"/>
      <c r="F295" s="6"/>
      <c r="G295" s="6"/>
      <c r="H295" s="6"/>
      <c r="I295" s="6"/>
      <c r="J295" s="6"/>
      <c r="K295" s="6"/>
      <c r="L295" s="6"/>
      <c r="M295" s="6"/>
      <c r="N295" s="6"/>
      <c r="O295" s="6"/>
      <c r="P295" s="6"/>
      <c r="Q295" s="6"/>
      <c r="R295" s="6"/>
      <c r="S295" s="6"/>
    </row>
    <row r="296" spans="3:19" ht="15">
      <c r="C296" s="6"/>
      <c r="D296" s="6"/>
      <c r="E296" s="6"/>
      <c r="F296" s="6"/>
      <c r="G296" s="6"/>
      <c r="H296" s="6"/>
      <c r="I296" s="6"/>
      <c r="J296" s="6"/>
      <c r="K296" s="6"/>
      <c r="L296" s="6"/>
      <c r="M296" s="6"/>
      <c r="N296" s="6"/>
      <c r="O296" s="6"/>
      <c r="P296" s="6"/>
      <c r="Q296" s="6"/>
      <c r="R296" s="6"/>
      <c r="S296" s="6"/>
    </row>
    <row r="297" spans="3:19" ht="15">
      <c r="C297" s="6"/>
      <c r="D297" s="6"/>
      <c r="E297" s="6"/>
      <c r="F297" s="6"/>
      <c r="G297" s="6"/>
      <c r="H297" s="6"/>
      <c r="I297" s="6"/>
      <c r="J297" s="6"/>
      <c r="K297" s="6"/>
      <c r="L297" s="6"/>
      <c r="M297" s="6"/>
      <c r="N297" s="6"/>
      <c r="O297" s="6"/>
      <c r="P297" s="6"/>
      <c r="Q297" s="6"/>
      <c r="R297" s="6"/>
      <c r="S297" s="6"/>
    </row>
    <row r="298" spans="3:19" ht="15">
      <c r="C298" s="6"/>
      <c r="D298" s="6"/>
      <c r="E298" s="6"/>
      <c r="F298" s="6"/>
      <c r="G298" s="6"/>
      <c r="H298" s="6"/>
      <c r="I298" s="6"/>
      <c r="J298" s="6"/>
      <c r="K298" s="6"/>
      <c r="L298" s="6"/>
      <c r="M298" s="6"/>
      <c r="N298" s="6"/>
      <c r="O298" s="6"/>
      <c r="P298" s="6"/>
      <c r="Q298" s="6"/>
      <c r="R298" s="6"/>
      <c r="S298" s="6"/>
    </row>
    <row r="299" spans="3:19" ht="15">
      <c r="C299" s="6"/>
      <c r="D299" s="6"/>
      <c r="E299" s="6"/>
      <c r="F299" s="6"/>
      <c r="G299" s="6"/>
      <c r="H299" s="6"/>
      <c r="I299" s="6"/>
      <c r="J299" s="6"/>
      <c r="K299" s="6"/>
      <c r="L299" s="6"/>
      <c r="M299" s="6"/>
      <c r="N299" s="6"/>
      <c r="O299" s="6"/>
      <c r="P299" s="6"/>
      <c r="Q299" s="6"/>
      <c r="R299" s="6"/>
      <c r="S299" s="6"/>
    </row>
    <row r="300" spans="3:19" ht="15">
      <c r="C300" s="6"/>
      <c r="D300" s="6"/>
      <c r="E300" s="6"/>
      <c r="F300" s="6"/>
      <c r="G300" s="6"/>
      <c r="H300" s="6"/>
      <c r="I300" s="6"/>
      <c r="J300" s="6"/>
      <c r="K300" s="6"/>
      <c r="L300" s="6"/>
      <c r="M300" s="6"/>
      <c r="N300" s="6"/>
      <c r="O300" s="6"/>
      <c r="P300" s="6"/>
      <c r="Q300" s="6"/>
      <c r="R300" s="6"/>
      <c r="S300" s="6"/>
    </row>
    <row r="301" spans="3:19" ht="15">
      <c r="C301" s="6"/>
      <c r="D301" s="6"/>
      <c r="E301" s="6"/>
      <c r="F301" s="6"/>
      <c r="G301" s="6"/>
      <c r="H301" s="6"/>
      <c r="I301" s="6"/>
      <c r="J301" s="6"/>
      <c r="K301" s="6"/>
      <c r="L301" s="6"/>
      <c r="M301" s="6"/>
      <c r="N301" s="6"/>
      <c r="O301" s="6"/>
      <c r="P301" s="6"/>
      <c r="Q301" s="6"/>
      <c r="R301" s="6"/>
      <c r="S301" s="6"/>
    </row>
    <row r="302" spans="3:19" ht="15">
      <c r="C302" s="6"/>
      <c r="D302" s="6"/>
      <c r="E302" s="6"/>
      <c r="F302" s="6"/>
      <c r="G302" s="6"/>
      <c r="H302" s="6"/>
      <c r="I302" s="6"/>
      <c r="J302" s="6"/>
      <c r="K302" s="6"/>
      <c r="L302" s="6"/>
      <c r="M302" s="6"/>
      <c r="N302" s="6"/>
      <c r="O302" s="6"/>
      <c r="P302" s="6"/>
      <c r="Q302" s="6"/>
      <c r="R302" s="6"/>
      <c r="S302" s="6"/>
    </row>
    <row r="303" spans="3:19" ht="15">
      <c r="C303" s="6"/>
      <c r="D303" s="6"/>
      <c r="E303" s="6"/>
      <c r="F303" s="6"/>
      <c r="G303" s="6"/>
      <c r="H303" s="6"/>
      <c r="I303" s="6"/>
      <c r="J303" s="6"/>
      <c r="K303" s="6"/>
      <c r="L303" s="6"/>
      <c r="M303" s="6"/>
      <c r="N303" s="6"/>
      <c r="O303" s="6"/>
      <c r="P303" s="6"/>
      <c r="Q303" s="6"/>
      <c r="R303" s="6"/>
      <c r="S303" s="6"/>
    </row>
    <row r="304" spans="3:19" ht="15">
      <c r="C304" s="6"/>
      <c r="D304" s="6"/>
      <c r="E304" s="6"/>
      <c r="F304" s="6"/>
      <c r="G304" s="6"/>
      <c r="H304" s="6"/>
      <c r="I304" s="6"/>
      <c r="J304" s="6"/>
      <c r="K304" s="6"/>
      <c r="L304" s="6"/>
      <c r="M304" s="6"/>
      <c r="N304" s="6"/>
      <c r="O304" s="6"/>
      <c r="P304" s="6"/>
      <c r="Q304" s="6"/>
      <c r="R304" s="6"/>
      <c r="S304" s="6"/>
    </row>
    <row r="305" spans="3:19" ht="15">
      <c r="C305" s="6"/>
      <c r="D305" s="6"/>
      <c r="E305" s="6"/>
      <c r="F305" s="6"/>
      <c r="G305" s="6"/>
      <c r="H305" s="6"/>
      <c r="I305" s="6"/>
      <c r="J305" s="6"/>
      <c r="K305" s="6"/>
      <c r="L305" s="6"/>
      <c r="M305" s="6"/>
      <c r="N305" s="6"/>
      <c r="O305" s="6"/>
      <c r="P305" s="6"/>
      <c r="Q305" s="6"/>
      <c r="R305" s="6"/>
      <c r="S305" s="6"/>
    </row>
    <row r="306" spans="3:19" ht="15">
      <c r="C306" s="6"/>
      <c r="D306" s="6"/>
      <c r="E306" s="6"/>
      <c r="F306" s="6"/>
      <c r="G306" s="6"/>
      <c r="H306" s="6"/>
      <c r="I306" s="6"/>
      <c r="J306" s="6"/>
      <c r="K306" s="6"/>
      <c r="L306" s="6"/>
      <c r="M306" s="6"/>
      <c r="N306" s="6"/>
      <c r="O306" s="6"/>
      <c r="P306" s="6"/>
      <c r="Q306" s="6"/>
      <c r="R306" s="6"/>
      <c r="S306" s="6"/>
    </row>
    <row r="307" spans="3:19" ht="15">
      <c r="C307" s="6"/>
      <c r="D307" s="6"/>
      <c r="E307" s="6"/>
      <c r="F307" s="6"/>
      <c r="G307" s="6"/>
      <c r="H307" s="6"/>
      <c r="I307" s="6"/>
      <c r="J307" s="6"/>
      <c r="K307" s="6"/>
      <c r="L307" s="6"/>
      <c r="M307" s="6"/>
      <c r="N307" s="6"/>
      <c r="O307" s="6"/>
      <c r="P307" s="6"/>
      <c r="Q307" s="6"/>
      <c r="R307" s="6"/>
      <c r="S307" s="6"/>
    </row>
    <row r="308" spans="3:19" ht="15">
      <c r="C308" s="6"/>
      <c r="D308" s="6"/>
      <c r="E308" s="6"/>
      <c r="F308" s="6"/>
      <c r="G308" s="6"/>
      <c r="H308" s="6"/>
      <c r="I308" s="6"/>
      <c r="J308" s="6"/>
      <c r="K308" s="6"/>
      <c r="L308" s="6"/>
      <c r="M308" s="6"/>
      <c r="N308" s="6"/>
      <c r="O308" s="6"/>
      <c r="P308" s="6"/>
      <c r="Q308" s="6"/>
      <c r="R308" s="6"/>
      <c r="S308" s="6"/>
    </row>
    <row r="309" spans="3:19" ht="15">
      <c r="C309" s="6"/>
      <c r="D309" s="6"/>
      <c r="E309" s="6"/>
      <c r="F309" s="6"/>
      <c r="G309" s="6"/>
      <c r="H309" s="6"/>
      <c r="I309" s="6"/>
      <c r="J309" s="6"/>
      <c r="K309" s="6"/>
      <c r="L309" s="6"/>
      <c r="M309" s="6"/>
      <c r="N309" s="6"/>
      <c r="O309" s="6"/>
      <c r="P309" s="6"/>
      <c r="Q309" s="6"/>
      <c r="R309" s="6"/>
      <c r="S309" s="6"/>
    </row>
    <row r="310" spans="3:19" ht="15">
      <c r="C310" s="6"/>
      <c r="D310" s="6"/>
      <c r="E310" s="6"/>
      <c r="F310" s="6"/>
      <c r="G310" s="6"/>
      <c r="H310" s="6"/>
      <c r="I310" s="6"/>
      <c r="J310" s="6"/>
      <c r="K310" s="6"/>
      <c r="L310" s="6"/>
      <c r="M310" s="6"/>
      <c r="N310" s="6"/>
      <c r="O310" s="6"/>
      <c r="P310" s="6"/>
      <c r="Q310" s="6"/>
      <c r="R310" s="6"/>
      <c r="S310" s="6"/>
    </row>
    <row r="311" spans="3:19" ht="15">
      <c r="C311" s="6"/>
      <c r="D311" s="6"/>
      <c r="E311" s="6"/>
      <c r="F311" s="6"/>
      <c r="G311" s="6"/>
      <c r="H311" s="6"/>
      <c r="I311" s="6"/>
      <c r="J311" s="6"/>
      <c r="K311" s="6"/>
      <c r="L311" s="6"/>
      <c r="M311" s="6"/>
      <c r="N311" s="6"/>
      <c r="O311" s="6"/>
      <c r="P311" s="6"/>
      <c r="Q311" s="6"/>
      <c r="R311" s="6"/>
      <c r="S311" s="6"/>
    </row>
    <row r="312" spans="3:19" ht="15">
      <c r="C312" s="6"/>
      <c r="D312" s="6"/>
      <c r="E312" s="6"/>
      <c r="F312" s="6"/>
      <c r="G312" s="6"/>
      <c r="H312" s="6"/>
      <c r="I312" s="6"/>
      <c r="J312" s="6"/>
      <c r="K312" s="6"/>
      <c r="L312" s="6"/>
      <c r="M312" s="6"/>
      <c r="N312" s="6"/>
      <c r="O312" s="6"/>
      <c r="P312" s="6"/>
      <c r="Q312" s="6"/>
      <c r="R312" s="6"/>
      <c r="S312" s="6"/>
    </row>
    <row r="313" spans="3:19" ht="15">
      <c r="C313" s="6"/>
      <c r="D313" s="6"/>
      <c r="E313" s="6"/>
      <c r="F313" s="6"/>
      <c r="G313" s="6"/>
      <c r="H313" s="6"/>
      <c r="I313" s="6"/>
      <c r="J313" s="6"/>
      <c r="K313" s="6"/>
      <c r="L313" s="6"/>
      <c r="M313" s="6"/>
      <c r="N313" s="6"/>
      <c r="O313" s="6"/>
      <c r="P313" s="6"/>
      <c r="Q313" s="6"/>
      <c r="R313" s="6"/>
      <c r="S313" s="6"/>
    </row>
    <row r="314" spans="3:19" ht="15">
      <c r="C314" s="6"/>
      <c r="D314" s="6"/>
      <c r="E314" s="6"/>
      <c r="F314" s="6"/>
      <c r="G314" s="6"/>
      <c r="H314" s="6"/>
      <c r="I314" s="6"/>
      <c r="J314" s="6"/>
      <c r="K314" s="6"/>
      <c r="L314" s="6"/>
      <c r="M314" s="6"/>
      <c r="N314" s="6"/>
      <c r="O314" s="6"/>
      <c r="P314" s="6"/>
      <c r="Q314" s="6"/>
      <c r="R314" s="6"/>
      <c r="S314" s="6"/>
    </row>
    <row r="315" spans="3:19" ht="15">
      <c r="C315" s="6"/>
      <c r="D315" s="6"/>
      <c r="E315" s="6"/>
      <c r="F315" s="6"/>
      <c r="G315" s="6"/>
      <c r="H315" s="6"/>
      <c r="I315" s="6"/>
      <c r="J315" s="6"/>
      <c r="K315" s="6"/>
      <c r="L315" s="6"/>
      <c r="M315" s="6"/>
      <c r="N315" s="6"/>
      <c r="O315" s="6"/>
      <c r="P315" s="6"/>
      <c r="Q315" s="6"/>
      <c r="R315" s="6"/>
      <c r="S315" s="6"/>
    </row>
    <row r="316" spans="3:19" ht="15">
      <c r="C316" s="6"/>
      <c r="D316" s="6"/>
      <c r="E316" s="6"/>
      <c r="F316" s="6"/>
      <c r="G316" s="6"/>
      <c r="H316" s="6"/>
      <c r="I316" s="6"/>
      <c r="J316" s="6"/>
      <c r="K316" s="6"/>
      <c r="L316" s="6"/>
      <c r="M316" s="6"/>
      <c r="N316" s="6"/>
      <c r="O316" s="6"/>
      <c r="P316" s="6"/>
      <c r="Q316" s="6"/>
      <c r="R316" s="6"/>
      <c r="S316" s="6"/>
    </row>
    <row r="317" spans="3:19" ht="15">
      <c r="C317" s="6"/>
      <c r="D317" s="6"/>
      <c r="E317" s="6"/>
      <c r="F317" s="6"/>
      <c r="G317" s="6"/>
      <c r="H317" s="6"/>
      <c r="I317" s="6"/>
      <c r="J317" s="6"/>
      <c r="K317" s="6"/>
      <c r="L317" s="6"/>
      <c r="M317" s="6"/>
      <c r="N317" s="6"/>
      <c r="O317" s="6"/>
      <c r="P317" s="6"/>
      <c r="Q317" s="6"/>
      <c r="R317" s="6"/>
      <c r="S317" s="6"/>
    </row>
    <row r="318" spans="3:19" ht="15">
      <c r="C318" s="6"/>
      <c r="D318" s="6"/>
      <c r="E318" s="6"/>
      <c r="F318" s="6"/>
      <c r="G318" s="6"/>
      <c r="H318" s="6"/>
      <c r="I318" s="6"/>
      <c r="J318" s="6"/>
      <c r="K318" s="6"/>
      <c r="L318" s="6"/>
      <c r="M318" s="6"/>
      <c r="N318" s="6"/>
      <c r="O318" s="6"/>
      <c r="P318" s="6"/>
      <c r="Q318" s="6"/>
      <c r="R318" s="6"/>
      <c r="S318" s="6"/>
    </row>
    <row r="319" spans="3:19" ht="15">
      <c r="C319" s="6"/>
      <c r="D319" s="6"/>
      <c r="E319" s="6"/>
      <c r="F319" s="6"/>
      <c r="G319" s="6"/>
      <c r="H319" s="6"/>
      <c r="I319" s="6"/>
      <c r="J319" s="6"/>
      <c r="K319" s="6"/>
      <c r="L319" s="6"/>
      <c r="M319" s="6"/>
      <c r="N319" s="6"/>
      <c r="O319" s="6"/>
      <c r="P319" s="6"/>
      <c r="Q319" s="6"/>
      <c r="R319" s="6"/>
      <c r="S319" s="6"/>
    </row>
    <row r="320" spans="3:19" ht="15">
      <c r="C320" s="6"/>
      <c r="D320" s="6"/>
      <c r="E320" s="6"/>
      <c r="F320" s="6"/>
      <c r="G320" s="6"/>
      <c r="H320" s="6"/>
      <c r="I320" s="6"/>
      <c r="J320" s="6"/>
      <c r="K320" s="6"/>
      <c r="L320" s="6"/>
      <c r="M320" s="6"/>
      <c r="N320" s="6"/>
      <c r="O320" s="6"/>
      <c r="P320" s="6"/>
      <c r="Q320" s="6"/>
      <c r="R320" s="6"/>
      <c r="S320" s="6"/>
    </row>
    <row r="321" spans="3:19" ht="15">
      <c r="C321" s="6"/>
      <c r="D321" s="6"/>
      <c r="E321" s="6"/>
      <c r="F321" s="6"/>
      <c r="G321" s="6"/>
      <c r="H321" s="6"/>
      <c r="I321" s="6"/>
      <c r="J321" s="6"/>
      <c r="K321" s="6"/>
      <c r="L321" s="6"/>
      <c r="M321" s="6"/>
      <c r="N321" s="6"/>
      <c r="O321" s="6"/>
      <c r="P321" s="6"/>
      <c r="Q321" s="6"/>
      <c r="R321" s="6"/>
      <c r="S321" s="6"/>
    </row>
    <row r="322" spans="3:19" ht="15">
      <c r="C322" s="6"/>
      <c r="D322" s="6"/>
      <c r="E322" s="6"/>
      <c r="F322" s="6"/>
      <c r="G322" s="6"/>
      <c r="H322" s="6"/>
      <c r="I322" s="6"/>
      <c r="J322" s="6"/>
      <c r="K322" s="6"/>
      <c r="L322" s="6"/>
      <c r="M322" s="6"/>
      <c r="N322" s="6"/>
      <c r="O322" s="6"/>
      <c r="P322" s="6"/>
      <c r="Q322" s="6"/>
      <c r="R322" s="6"/>
      <c r="S322" s="6"/>
    </row>
    <row r="323" spans="3:19" ht="15">
      <c r="C323" s="6"/>
      <c r="D323" s="6"/>
      <c r="E323" s="6"/>
      <c r="F323" s="6"/>
      <c r="G323" s="6"/>
      <c r="H323" s="6"/>
      <c r="I323" s="6"/>
      <c r="J323" s="6"/>
      <c r="K323" s="6"/>
      <c r="L323" s="6"/>
      <c r="M323" s="6"/>
      <c r="N323" s="6"/>
      <c r="O323" s="6"/>
      <c r="P323" s="6"/>
      <c r="Q323" s="6"/>
      <c r="R323" s="6"/>
      <c r="S323" s="6"/>
    </row>
    <row r="324" spans="3:19" ht="15">
      <c r="C324" s="6"/>
      <c r="D324" s="6"/>
      <c r="E324" s="6"/>
      <c r="F324" s="6"/>
      <c r="G324" s="6"/>
      <c r="H324" s="6"/>
      <c r="I324" s="6"/>
      <c r="J324" s="6"/>
      <c r="K324" s="6"/>
      <c r="L324" s="6"/>
      <c r="M324" s="6"/>
      <c r="N324" s="6"/>
      <c r="O324" s="6"/>
      <c r="P324" s="6"/>
      <c r="Q324" s="6"/>
      <c r="R324" s="6"/>
      <c r="S324" s="6"/>
    </row>
    <row r="325" spans="3:19" ht="15">
      <c r="C325" s="6"/>
      <c r="D325" s="6"/>
      <c r="E325" s="6"/>
      <c r="F325" s="6"/>
      <c r="G325" s="6"/>
      <c r="H325" s="6"/>
      <c r="I325" s="6"/>
      <c r="J325" s="6"/>
      <c r="K325" s="6"/>
      <c r="L325" s="6"/>
      <c r="M325" s="6"/>
      <c r="N325" s="6"/>
      <c r="O325" s="6"/>
      <c r="P325" s="6"/>
      <c r="Q325" s="6"/>
      <c r="R325" s="6"/>
      <c r="S325" s="6"/>
    </row>
    <row r="326" spans="3:19" ht="15">
      <c r="C326" s="6"/>
      <c r="D326" s="6"/>
      <c r="E326" s="6"/>
      <c r="F326" s="6"/>
      <c r="G326" s="6"/>
      <c r="H326" s="6"/>
      <c r="I326" s="6"/>
      <c r="J326" s="6"/>
      <c r="K326" s="6"/>
      <c r="L326" s="6"/>
      <c r="M326" s="6"/>
      <c r="N326" s="6"/>
      <c r="O326" s="6"/>
      <c r="P326" s="6"/>
      <c r="Q326" s="6"/>
      <c r="R326" s="6"/>
      <c r="S326" s="6"/>
    </row>
    <row r="327" spans="3:19" ht="15">
      <c r="C327" s="6"/>
      <c r="D327" s="6"/>
      <c r="E327" s="6"/>
      <c r="F327" s="6"/>
      <c r="G327" s="6"/>
      <c r="H327" s="6"/>
      <c r="I327" s="6"/>
      <c r="J327" s="6"/>
      <c r="K327" s="6"/>
      <c r="L327" s="6"/>
      <c r="M327" s="6"/>
      <c r="N327" s="6"/>
      <c r="O327" s="6"/>
      <c r="P327" s="6"/>
      <c r="Q327" s="6"/>
      <c r="R327" s="6"/>
      <c r="S327" s="6"/>
    </row>
    <row r="328" spans="3:19" ht="15">
      <c r="C328" s="6"/>
      <c r="D328" s="6"/>
      <c r="E328" s="6"/>
      <c r="F328" s="6"/>
      <c r="G328" s="6"/>
      <c r="H328" s="6"/>
      <c r="I328" s="6"/>
      <c r="J328" s="6"/>
      <c r="K328" s="6"/>
      <c r="L328" s="6"/>
      <c r="M328" s="6"/>
      <c r="N328" s="6"/>
      <c r="O328" s="6"/>
      <c r="P328" s="6"/>
      <c r="Q328" s="6"/>
      <c r="R328" s="6"/>
      <c r="S328" s="6"/>
    </row>
    <row r="329" spans="3:19" ht="15">
      <c r="C329" s="6"/>
      <c r="D329" s="6"/>
      <c r="E329" s="6"/>
      <c r="F329" s="6"/>
      <c r="G329" s="6"/>
      <c r="H329" s="6"/>
      <c r="I329" s="6"/>
      <c r="J329" s="6"/>
      <c r="K329" s="6"/>
      <c r="L329" s="6"/>
      <c r="M329" s="6"/>
      <c r="N329" s="6"/>
      <c r="O329" s="6"/>
      <c r="P329" s="6"/>
      <c r="Q329" s="6"/>
      <c r="R329" s="6"/>
      <c r="S329" s="6"/>
    </row>
    <row r="330" spans="3:19" ht="15">
      <c r="C330" s="6"/>
      <c r="D330" s="6"/>
      <c r="E330" s="6"/>
      <c r="F330" s="6"/>
      <c r="G330" s="6"/>
      <c r="H330" s="6"/>
      <c r="I330" s="6"/>
      <c r="J330" s="6"/>
      <c r="K330" s="6"/>
      <c r="L330" s="6"/>
      <c r="M330" s="6"/>
      <c r="N330" s="6"/>
      <c r="O330" s="6"/>
      <c r="P330" s="6"/>
      <c r="Q330" s="6"/>
      <c r="R330" s="6"/>
      <c r="S330" s="6"/>
    </row>
    <row r="331" spans="3:19" ht="15">
      <c r="C331" s="6"/>
      <c r="D331" s="6"/>
      <c r="E331" s="6"/>
      <c r="F331" s="6"/>
      <c r="G331" s="6"/>
      <c r="H331" s="6"/>
      <c r="I331" s="6"/>
      <c r="J331" s="6"/>
      <c r="K331" s="6"/>
      <c r="L331" s="6"/>
      <c r="M331" s="6"/>
      <c r="N331" s="6"/>
      <c r="O331" s="6"/>
      <c r="P331" s="6"/>
      <c r="Q331" s="6"/>
      <c r="R331" s="6"/>
      <c r="S331" s="6"/>
    </row>
    <row r="332" spans="3:19" ht="15">
      <c r="C332" s="6"/>
      <c r="D332" s="6"/>
      <c r="E332" s="6"/>
      <c r="F332" s="6"/>
      <c r="G332" s="6"/>
      <c r="H332" s="6"/>
      <c r="I332" s="6"/>
      <c r="J332" s="6"/>
      <c r="K332" s="6"/>
      <c r="L332" s="6"/>
      <c r="M332" s="6"/>
      <c r="N332" s="6"/>
      <c r="O332" s="6"/>
      <c r="P332" s="6"/>
      <c r="Q332" s="6"/>
      <c r="R332" s="6"/>
      <c r="S332" s="6"/>
    </row>
    <row r="333" spans="3:19" ht="15">
      <c r="C333" s="6"/>
      <c r="D333" s="6"/>
      <c r="E333" s="6"/>
      <c r="F333" s="6"/>
      <c r="G333" s="6"/>
      <c r="H333" s="6"/>
      <c r="I333" s="6"/>
      <c r="J333" s="6"/>
      <c r="K333" s="6"/>
      <c r="L333" s="6"/>
      <c r="M333" s="6"/>
      <c r="N333" s="6"/>
      <c r="O333" s="6"/>
      <c r="P333" s="6"/>
      <c r="Q333" s="6"/>
      <c r="R333" s="6"/>
      <c r="S333" s="6"/>
    </row>
    <row r="334" spans="3:19" ht="15">
      <c r="C334" s="6"/>
      <c r="D334" s="6"/>
      <c r="E334" s="6"/>
      <c r="F334" s="6"/>
      <c r="G334" s="6"/>
      <c r="H334" s="6"/>
      <c r="I334" s="6"/>
      <c r="J334" s="6"/>
      <c r="K334" s="6"/>
      <c r="L334" s="6"/>
      <c r="M334" s="6"/>
      <c r="N334" s="6"/>
      <c r="O334" s="6"/>
      <c r="P334" s="6"/>
      <c r="Q334" s="6"/>
      <c r="R334" s="6"/>
      <c r="S334" s="6"/>
    </row>
    <row r="335" spans="3:19" ht="15">
      <c r="C335" s="6"/>
      <c r="D335" s="6"/>
      <c r="E335" s="6"/>
      <c r="F335" s="6"/>
      <c r="G335" s="6"/>
      <c r="H335" s="6"/>
      <c r="I335" s="6"/>
      <c r="J335" s="6"/>
      <c r="K335" s="6"/>
      <c r="L335" s="6"/>
      <c r="M335" s="6"/>
      <c r="N335" s="6"/>
      <c r="O335" s="6"/>
      <c r="P335" s="6"/>
      <c r="Q335" s="6"/>
      <c r="R335" s="6"/>
      <c r="S335" s="6"/>
    </row>
    <row r="336" spans="3:19" ht="15">
      <c r="C336" s="6"/>
      <c r="D336" s="6"/>
      <c r="E336" s="6"/>
      <c r="F336" s="6"/>
      <c r="G336" s="6"/>
      <c r="H336" s="6"/>
      <c r="I336" s="6"/>
      <c r="J336" s="6"/>
      <c r="K336" s="6"/>
      <c r="L336" s="6"/>
      <c r="M336" s="6"/>
      <c r="N336" s="6"/>
      <c r="O336" s="6"/>
      <c r="P336" s="6"/>
      <c r="Q336" s="6"/>
      <c r="R336" s="6"/>
      <c r="S336" s="6"/>
    </row>
    <row r="337" spans="3:19" ht="15">
      <c r="C337" s="6"/>
      <c r="D337" s="6"/>
      <c r="E337" s="6"/>
      <c r="F337" s="6"/>
      <c r="G337" s="6"/>
      <c r="H337" s="6"/>
      <c r="I337" s="6"/>
      <c r="J337" s="6"/>
      <c r="K337" s="6"/>
      <c r="L337" s="6"/>
      <c r="M337" s="6"/>
      <c r="N337" s="6"/>
      <c r="O337" s="6"/>
      <c r="P337" s="6"/>
      <c r="Q337" s="6"/>
      <c r="R337" s="6"/>
      <c r="S337" s="6"/>
    </row>
    <row r="338" spans="3:19" ht="15">
      <c r="C338" s="6"/>
      <c r="D338" s="6"/>
      <c r="E338" s="6"/>
      <c r="F338" s="6"/>
      <c r="G338" s="6"/>
      <c r="H338" s="6"/>
      <c r="I338" s="6"/>
      <c r="J338" s="6"/>
      <c r="K338" s="6"/>
      <c r="L338" s="6"/>
      <c r="M338" s="6"/>
      <c r="N338" s="6"/>
      <c r="O338" s="6"/>
      <c r="P338" s="6"/>
      <c r="Q338" s="6"/>
      <c r="R338" s="6"/>
      <c r="S338" s="6"/>
    </row>
  </sheetData>
  <mergeCells count="22">
    <mergeCell ref="D174:F174"/>
    <mergeCell ref="D175:F175"/>
    <mergeCell ref="D177:F177"/>
    <mergeCell ref="D114:F114"/>
    <mergeCell ref="D170:F170"/>
    <mergeCell ref="D171:F171"/>
    <mergeCell ref="D172:F172"/>
    <mergeCell ref="D109:F109"/>
    <mergeCell ref="D111:F111"/>
    <mergeCell ref="D112:F112"/>
    <mergeCell ref="D53:F53"/>
    <mergeCell ref="D54:F54"/>
    <mergeCell ref="D107:F107"/>
    <mergeCell ref="D108:F108"/>
    <mergeCell ref="D1:F1"/>
    <mergeCell ref="D2:F2"/>
    <mergeCell ref="D3:F3"/>
    <mergeCell ref="D51:F51"/>
    <mergeCell ref="D5:F5"/>
    <mergeCell ref="D6:F6"/>
    <mergeCell ref="D49:F49"/>
    <mergeCell ref="D50:F50"/>
  </mergeCells>
  <printOptions horizontalCentered="1"/>
  <pageMargins left="0.57" right="0.3" top="0.77" bottom="0.75" header="0.5" footer="0.5"/>
  <pageSetup fitToHeight="6" horizontalDpi="300" verticalDpi="300" orientation="portrait" scale="51" r:id="rId1"/>
  <headerFooter alignWithMargins="0">
    <oddFooter>&amp;L&amp;D&amp;R&amp;F, &amp;A</oddFooter>
  </headerFooter>
  <rowBreaks count="3" manualBreakCount="3">
    <brk id="48" max="255" man="1"/>
    <brk id="106" max="255" man="1"/>
    <brk id="169" max="255" man="1"/>
  </rowBreaks>
</worksheet>
</file>

<file path=xl/worksheets/sheet3.xml><?xml version="1.0" encoding="utf-8"?>
<worksheet xmlns="http://schemas.openxmlformats.org/spreadsheetml/2006/main" xmlns:r="http://schemas.openxmlformats.org/officeDocument/2006/relationships">
  <dimension ref="A1:BK317"/>
  <sheetViews>
    <sheetView view="pageBreakPreview" zoomScale="70" zoomScaleNormal="60" zoomScaleSheetLayoutView="70" workbookViewId="0" topLeftCell="B45">
      <selection activeCell="E63" sqref="E63"/>
    </sheetView>
  </sheetViews>
  <sheetFormatPr defaultColWidth="8.88671875" defaultRowHeight="15"/>
  <cols>
    <col min="1" max="1" width="6.77734375" style="0" customWidth="1"/>
    <col min="2" max="2" width="3.77734375" style="0" customWidth="1"/>
    <col min="3" max="3" width="31.77734375" style="0" customWidth="1"/>
    <col min="4" max="4" width="40.77734375" style="0" customWidth="1"/>
    <col min="5" max="5" width="13.77734375" style="0" customWidth="1"/>
    <col min="6" max="6" width="14.77734375" style="0" customWidth="1"/>
    <col min="7" max="7" width="5.77734375" style="0" customWidth="1"/>
    <col min="8" max="8" width="12.77734375" style="0" customWidth="1"/>
    <col min="9" max="9" width="3.77734375" style="0" customWidth="1"/>
    <col min="10" max="10" width="13.77734375" style="0" customWidth="1"/>
    <col min="11" max="11" width="3.77734375" style="0" customWidth="1"/>
    <col min="12" max="12" width="6.77734375" style="0" customWidth="1"/>
    <col min="13" max="13" width="2.99609375" style="0" customWidth="1"/>
    <col min="14" max="14" width="50.21484375" style="0" customWidth="1"/>
    <col min="16" max="16" width="13.10546875" style="0" customWidth="1"/>
  </cols>
  <sheetData>
    <row r="1" spans="3:63" ht="15">
      <c r="C1" s="18"/>
      <c r="D1" s="511" t="s">
        <v>71</v>
      </c>
      <c r="E1" s="516"/>
      <c r="F1" s="516"/>
      <c r="G1" s="18"/>
      <c r="J1" s="172" t="s">
        <v>105</v>
      </c>
      <c r="K1" s="18"/>
      <c r="L1" s="18"/>
      <c r="M1" s="130"/>
      <c r="N1" s="130"/>
      <c r="O1" s="130"/>
      <c r="P1" s="130"/>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row>
    <row r="2" spans="3:63" ht="15">
      <c r="C2" s="18"/>
      <c r="D2" s="512" t="s">
        <v>469</v>
      </c>
      <c r="E2" s="516"/>
      <c r="F2" s="516"/>
      <c r="G2" s="21"/>
      <c r="H2" s="21"/>
      <c r="J2" s="172" t="s">
        <v>359</v>
      </c>
      <c r="K2" s="21"/>
      <c r="L2" s="21"/>
      <c r="M2" s="2"/>
      <c r="N2" s="128"/>
      <c r="O2" s="2"/>
      <c r="P2" s="130"/>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row>
    <row r="3" spans="3:63" ht="15">
      <c r="C3" s="18"/>
      <c r="D3" s="511" t="s">
        <v>780</v>
      </c>
      <c r="E3" s="516"/>
      <c r="F3" s="516"/>
      <c r="G3" s="21"/>
      <c r="H3" s="21" t="s">
        <v>105</v>
      </c>
      <c r="J3" s="391" t="s">
        <v>85</v>
      </c>
      <c r="K3" s="21"/>
      <c r="L3" s="21"/>
      <c r="M3" s="2"/>
      <c r="N3" s="2"/>
      <c r="O3" s="2"/>
      <c r="P3" s="130"/>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row>
    <row r="4" spans="3:63" ht="15">
      <c r="C4" s="18"/>
      <c r="D4" s="21"/>
      <c r="G4" s="21"/>
      <c r="H4" s="21"/>
      <c r="K4" s="21"/>
      <c r="L4" s="21"/>
      <c r="M4" s="2"/>
      <c r="N4" s="2"/>
      <c r="O4" s="2"/>
      <c r="P4" s="130"/>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row>
    <row r="5" spans="3:63" ht="15">
      <c r="C5" s="18"/>
      <c r="D5" s="509" t="s">
        <v>335</v>
      </c>
      <c r="E5" s="516"/>
      <c r="F5" s="516"/>
      <c r="G5" s="21"/>
      <c r="H5" s="21"/>
      <c r="I5" s="21"/>
      <c r="K5" s="21"/>
      <c r="L5" s="21"/>
      <c r="M5" s="2"/>
      <c r="N5" s="2"/>
      <c r="O5" s="2"/>
      <c r="P5" s="130"/>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row>
    <row r="6" spans="3:63" ht="15">
      <c r="C6" s="18"/>
      <c r="D6" s="509" t="s">
        <v>279</v>
      </c>
      <c r="E6" s="516"/>
      <c r="F6" s="516"/>
      <c r="G6" s="21"/>
      <c r="H6" s="21"/>
      <c r="I6" s="21"/>
      <c r="J6" s="21"/>
      <c r="K6" s="21"/>
      <c r="L6" s="21"/>
      <c r="M6" s="2"/>
      <c r="N6" s="2"/>
      <c r="O6" s="2"/>
      <c r="P6" s="130"/>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row>
    <row r="7" spans="3:63" ht="15">
      <c r="C7" s="20" t="s">
        <v>131</v>
      </c>
      <c r="D7" s="20" t="s">
        <v>132</v>
      </c>
      <c r="E7" s="20" t="s">
        <v>133</v>
      </c>
      <c r="F7" s="21" t="s">
        <v>105</v>
      </c>
      <c r="G7" s="21"/>
      <c r="H7" s="23" t="s">
        <v>134</v>
      </c>
      <c r="I7" s="21"/>
      <c r="J7" s="24" t="s">
        <v>135</v>
      </c>
      <c r="K7" s="21"/>
      <c r="L7" s="20"/>
      <c r="M7" s="2"/>
      <c r="N7" s="131"/>
      <c r="O7" s="2"/>
      <c r="P7" s="130"/>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row>
    <row r="8" spans="3:63" ht="15">
      <c r="C8" s="18"/>
      <c r="D8" s="46" t="s">
        <v>136</v>
      </c>
      <c r="E8" s="21"/>
      <c r="F8" s="21"/>
      <c r="G8" s="21"/>
      <c r="H8" s="50"/>
      <c r="I8" s="21"/>
      <c r="J8" s="51" t="s">
        <v>137</v>
      </c>
      <c r="K8" s="21"/>
      <c r="L8" s="20"/>
      <c r="M8" s="2"/>
      <c r="N8" s="131"/>
      <c r="O8" s="131"/>
      <c r="P8" s="130"/>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row>
    <row r="9" spans="1:63" ht="15">
      <c r="A9" s="67" t="s">
        <v>106</v>
      </c>
      <c r="C9" s="18"/>
      <c r="D9" s="71" t="s">
        <v>138</v>
      </c>
      <c r="E9" s="51" t="s">
        <v>139</v>
      </c>
      <c r="F9" s="72"/>
      <c r="G9" s="51" t="s">
        <v>140</v>
      </c>
      <c r="H9" s="28"/>
      <c r="I9" s="72"/>
      <c r="J9" s="73" t="s">
        <v>141</v>
      </c>
      <c r="K9" s="21"/>
      <c r="L9" s="20"/>
      <c r="M9" s="128"/>
      <c r="N9" s="131"/>
      <c r="O9" s="131"/>
      <c r="P9" s="130"/>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row>
    <row r="10" spans="1:63" ht="15.75" thickBot="1">
      <c r="A10" s="68" t="s">
        <v>110</v>
      </c>
      <c r="C10" s="29" t="s">
        <v>142</v>
      </c>
      <c r="D10" s="21"/>
      <c r="E10" s="21"/>
      <c r="F10" s="21"/>
      <c r="G10" s="21"/>
      <c r="H10" s="21"/>
      <c r="I10" s="21"/>
      <c r="J10" s="21"/>
      <c r="K10" s="21"/>
      <c r="L10" s="21"/>
      <c r="M10" s="128"/>
      <c r="N10" s="2"/>
      <c r="O10" s="2"/>
      <c r="P10" s="130"/>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row>
    <row r="11" spans="1:63" ht="15">
      <c r="A11" s="67"/>
      <c r="C11" s="18"/>
      <c r="D11" s="167"/>
      <c r="E11" s="21"/>
      <c r="F11" s="21"/>
      <c r="G11" s="21"/>
      <c r="H11" s="21"/>
      <c r="I11" s="21"/>
      <c r="J11" s="21"/>
      <c r="K11" s="21"/>
      <c r="L11" s="21"/>
      <c r="M11" s="128"/>
      <c r="N11" s="2"/>
      <c r="O11" s="2"/>
      <c r="P11" s="130"/>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row>
    <row r="12" spans="1:63" ht="15">
      <c r="A12" s="67"/>
      <c r="C12" s="18" t="s">
        <v>143</v>
      </c>
      <c r="D12" s="21"/>
      <c r="E12" s="21"/>
      <c r="F12" s="21"/>
      <c r="G12" s="21"/>
      <c r="H12" s="21"/>
      <c r="I12" s="21"/>
      <c r="J12" s="21"/>
      <c r="K12" s="21"/>
      <c r="L12" s="21"/>
      <c r="M12" s="128"/>
      <c r="N12" s="2"/>
      <c r="O12" s="2"/>
      <c r="P12" s="130"/>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row>
    <row r="13" spans="1:63" ht="15">
      <c r="A13" s="67">
        <v>1</v>
      </c>
      <c r="C13" s="18" t="s">
        <v>144</v>
      </c>
      <c r="D13" s="21" t="s">
        <v>360</v>
      </c>
      <c r="E13" s="160">
        <f>2083383351</f>
        <v>2083383351</v>
      </c>
      <c r="F13" s="21"/>
      <c r="G13" s="21" t="s">
        <v>145</v>
      </c>
      <c r="H13" s="30" t="s">
        <v>105</v>
      </c>
      <c r="I13" s="21"/>
      <c r="J13" s="21" t="s">
        <v>105</v>
      </c>
      <c r="K13" s="21"/>
      <c r="L13" s="21"/>
      <c r="M13" s="128"/>
      <c r="O13" s="2"/>
      <c r="P13" s="130"/>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row>
    <row r="14" spans="1:63" ht="15">
      <c r="A14" s="67">
        <v>2</v>
      </c>
      <c r="C14" s="18" t="s">
        <v>146</v>
      </c>
      <c r="D14" s="21" t="s">
        <v>361</v>
      </c>
      <c r="E14" s="162">
        <v>293802757</v>
      </c>
      <c r="F14" s="21"/>
      <c r="G14" s="21" t="s">
        <v>115</v>
      </c>
      <c r="H14" s="30">
        <f>J122</f>
        <v>1</v>
      </c>
      <c r="I14" s="21"/>
      <c r="J14" s="21">
        <f>+H14*E14</f>
        <v>293802757</v>
      </c>
      <c r="K14" s="21"/>
      <c r="L14" s="21"/>
      <c r="M14" s="128"/>
      <c r="O14" s="2"/>
      <c r="P14" s="130"/>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row>
    <row r="15" spans="1:63" ht="15">
      <c r="A15" s="67">
        <v>3</v>
      </c>
      <c r="C15" s="18" t="s">
        <v>147</v>
      </c>
      <c r="D15" s="21" t="s">
        <v>362</v>
      </c>
      <c r="E15" s="160">
        <v>658154724</v>
      </c>
      <c r="F15" s="21"/>
      <c r="G15" s="21" t="s">
        <v>145</v>
      </c>
      <c r="H15" s="30" t="s">
        <v>105</v>
      </c>
      <c r="I15" s="21"/>
      <c r="J15" s="21" t="s">
        <v>105</v>
      </c>
      <c r="K15" s="21"/>
      <c r="L15" s="21"/>
      <c r="M15" s="128"/>
      <c r="O15" s="2"/>
      <c r="P15" s="130"/>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row>
    <row r="16" spans="1:63" ht="16.5" customHeight="1">
      <c r="A16" s="67">
        <v>4</v>
      </c>
      <c r="C16" s="159" t="s">
        <v>148</v>
      </c>
      <c r="D16" s="176" t="s">
        <v>363</v>
      </c>
      <c r="E16" s="177">
        <f>87880615+13284155</f>
        <v>101164770</v>
      </c>
      <c r="F16" s="21"/>
      <c r="G16" s="21" t="s">
        <v>149</v>
      </c>
      <c r="H16" s="30">
        <f>J142</f>
        <v>0.08987974998157357</v>
      </c>
      <c r="I16" s="21"/>
      <c r="J16" s="21">
        <f>+H16*E16</f>
        <v>9092664.234543394</v>
      </c>
      <c r="K16" s="21"/>
      <c r="L16" s="21"/>
      <c r="M16" s="2"/>
      <c r="O16" s="131"/>
      <c r="P16" s="130"/>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row>
    <row r="17" spans="1:63" ht="15" thickBot="1">
      <c r="A17" s="67">
        <v>5</v>
      </c>
      <c r="C17" s="18" t="s">
        <v>150</v>
      </c>
      <c r="D17" s="21" t="s">
        <v>151</v>
      </c>
      <c r="E17" s="92">
        <v>0</v>
      </c>
      <c r="F17" s="55"/>
      <c r="G17" s="21" t="s">
        <v>206</v>
      </c>
      <c r="H17" s="30">
        <f>L148</f>
        <v>0.08987974998157357</v>
      </c>
      <c r="I17" s="21"/>
      <c r="J17" s="61">
        <f>+H17*E17</f>
        <v>0</v>
      </c>
      <c r="K17" s="21"/>
      <c r="L17" s="21"/>
      <c r="M17" s="2"/>
      <c r="O17" s="131"/>
      <c r="P17" s="130"/>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row>
    <row r="18" spans="1:63" ht="15">
      <c r="A18" s="67">
        <v>6</v>
      </c>
      <c r="C18" s="48" t="s">
        <v>152</v>
      </c>
      <c r="D18" s="21"/>
      <c r="E18" s="21">
        <f>SUM(E13:E17)</f>
        <v>3136505602</v>
      </c>
      <c r="F18" s="21"/>
      <c r="G18" s="21" t="s">
        <v>153</v>
      </c>
      <c r="H18" s="47">
        <f>IF(J18&gt;0,J18/E18,0)</f>
        <v>0.09657098046992214</v>
      </c>
      <c r="I18" s="21"/>
      <c r="J18" s="21">
        <f>SUM(J13:J17)</f>
        <v>302895421.2345434</v>
      </c>
      <c r="K18" s="21"/>
      <c r="L18" s="34"/>
      <c r="M18" s="128"/>
      <c r="N18" s="2"/>
      <c r="O18" s="2"/>
      <c r="P18" s="130"/>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row>
    <row r="19" spans="3:63" ht="15">
      <c r="C19" s="18"/>
      <c r="D19" s="21"/>
      <c r="E19" s="21"/>
      <c r="F19" s="21"/>
      <c r="G19" s="21"/>
      <c r="H19" s="34"/>
      <c r="I19" s="21"/>
      <c r="J19" s="21"/>
      <c r="K19" s="21"/>
      <c r="L19" s="34"/>
      <c r="M19" s="128"/>
      <c r="N19" s="2"/>
      <c r="O19" s="2"/>
      <c r="P19" s="130"/>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row>
    <row r="20" spans="3:63" ht="15">
      <c r="C20" s="18" t="s">
        <v>154</v>
      </c>
      <c r="D20" s="21" t="s">
        <v>499</v>
      </c>
      <c r="E20" s="21"/>
      <c r="F20" s="21"/>
      <c r="G20" s="21"/>
      <c r="H20" s="21"/>
      <c r="I20" s="21"/>
      <c r="J20" s="21"/>
      <c r="K20" s="21"/>
      <c r="L20" s="21"/>
      <c r="M20" s="128"/>
      <c r="N20" s="2"/>
      <c r="O20" s="2"/>
      <c r="P20" s="130"/>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row>
    <row r="21" spans="1:63" ht="15">
      <c r="A21" s="67">
        <v>7</v>
      </c>
      <c r="C21" s="18" t="str">
        <f>+C13</f>
        <v>  Production</v>
      </c>
      <c r="D21" s="21" t="s">
        <v>364</v>
      </c>
      <c r="E21" s="160">
        <f>366405115+658370116+542811</f>
        <v>1025318042</v>
      </c>
      <c r="F21" s="21"/>
      <c r="G21" s="21" t="str">
        <f aca="true" t="shared" si="0" ref="G21:H25">+G13</f>
        <v>NA</v>
      </c>
      <c r="H21" s="30" t="str">
        <f t="shared" si="0"/>
        <v> </v>
      </c>
      <c r="I21" s="21"/>
      <c r="J21" s="21" t="s">
        <v>105</v>
      </c>
      <c r="K21" s="21"/>
      <c r="L21" s="21"/>
      <c r="M21" s="128"/>
      <c r="N21" s="2"/>
      <c r="O21" s="2"/>
      <c r="P21" s="130"/>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row>
    <row r="22" spans="1:63" ht="15">
      <c r="A22" s="67">
        <v>8</v>
      </c>
      <c r="C22" s="18" t="str">
        <f>+C14</f>
        <v>  Transmission</v>
      </c>
      <c r="D22" s="21" t="s">
        <v>365</v>
      </c>
      <c r="E22" s="162">
        <v>132743672</v>
      </c>
      <c r="F22" s="21"/>
      <c r="G22" s="21" t="str">
        <f t="shared" si="0"/>
        <v>TP</v>
      </c>
      <c r="H22" s="30">
        <f t="shared" si="0"/>
        <v>1</v>
      </c>
      <c r="I22" s="21"/>
      <c r="J22" s="21">
        <f>+H22*E22</f>
        <v>132743672</v>
      </c>
      <c r="K22" s="21"/>
      <c r="L22" s="21"/>
      <c r="M22" s="128"/>
      <c r="N22" s="2"/>
      <c r="O22" s="2"/>
      <c r="P22" s="130"/>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row>
    <row r="23" spans="1:63" ht="15">
      <c r="A23" s="67">
        <v>9</v>
      </c>
      <c r="C23" s="18" t="str">
        <f>+C15</f>
        <v>  Distribution</v>
      </c>
      <c r="D23" s="21" t="s">
        <v>366</v>
      </c>
      <c r="E23" s="160">
        <v>241336920</v>
      </c>
      <c r="F23" s="21"/>
      <c r="G23" s="21" t="str">
        <f t="shared" si="0"/>
        <v>NA</v>
      </c>
      <c r="H23" s="30" t="str">
        <f t="shared" si="0"/>
        <v> </v>
      </c>
      <c r="I23" s="21"/>
      <c r="J23" s="21" t="s">
        <v>105</v>
      </c>
      <c r="K23" s="21"/>
      <c r="L23" s="21"/>
      <c r="M23" s="128"/>
      <c r="N23" s="2"/>
      <c r="O23" s="2"/>
      <c r="P23" s="130"/>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row>
    <row r="24" spans="1:63" ht="15">
      <c r="A24" s="67">
        <v>10</v>
      </c>
      <c r="C24" s="18" t="str">
        <f>+C16</f>
        <v>  General &amp; Intangible</v>
      </c>
      <c r="D24" s="21" t="s">
        <v>367</v>
      </c>
      <c r="E24" s="160">
        <v>42134779</v>
      </c>
      <c r="F24" s="21"/>
      <c r="G24" s="21" t="str">
        <f t="shared" si="0"/>
        <v>W/S</v>
      </c>
      <c r="H24" s="30">
        <f t="shared" si="0"/>
        <v>0.08987974998157357</v>
      </c>
      <c r="I24" s="21"/>
      <c r="J24" s="21">
        <f>+H24*E24</f>
        <v>3787063.4020488565</v>
      </c>
      <c r="K24" s="21"/>
      <c r="L24" s="21"/>
      <c r="M24" s="128"/>
      <c r="N24" s="2"/>
      <c r="O24" s="131"/>
      <c r="P24" s="130"/>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row>
    <row r="25" spans="1:63" ht="15" thickBot="1">
      <c r="A25" s="67">
        <v>11</v>
      </c>
      <c r="C25" s="18" t="str">
        <f>+C17</f>
        <v>  Common</v>
      </c>
      <c r="D25" s="21" t="s">
        <v>151</v>
      </c>
      <c r="E25" s="92">
        <v>0</v>
      </c>
      <c r="F25" s="21"/>
      <c r="G25" s="21" t="str">
        <f t="shared" si="0"/>
        <v>CE</v>
      </c>
      <c r="H25" s="30">
        <f t="shared" si="0"/>
        <v>0.08987974998157357</v>
      </c>
      <c r="I25" s="21"/>
      <c r="J25" s="61">
        <f>+H25*E25</f>
        <v>0</v>
      </c>
      <c r="K25" s="21"/>
      <c r="L25" s="21"/>
      <c r="M25" s="128"/>
      <c r="N25" s="2"/>
      <c r="O25" s="131"/>
      <c r="P25" s="130"/>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row>
    <row r="26" spans="1:63" ht="15">
      <c r="A26" s="67">
        <v>12</v>
      </c>
      <c r="C26" s="18" t="s">
        <v>155</v>
      </c>
      <c r="D26" s="21"/>
      <c r="E26" s="21">
        <f>SUM(E21:E25)</f>
        <v>1441533413</v>
      </c>
      <c r="F26" s="21"/>
      <c r="G26" s="21"/>
      <c r="H26" s="21"/>
      <c r="I26" s="21"/>
      <c r="J26" s="21">
        <f>SUM(J21:J25)</f>
        <v>136530735.40204886</v>
      </c>
      <c r="K26" s="21"/>
      <c r="L26" s="21"/>
      <c r="M26" s="128"/>
      <c r="N26" s="132"/>
      <c r="O26" s="2"/>
      <c r="P26" s="130"/>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row>
    <row r="27" spans="1:63" ht="15">
      <c r="A27" s="67"/>
      <c r="D27" s="21" t="s">
        <v>105</v>
      </c>
      <c r="F27" s="21"/>
      <c r="G27" s="21"/>
      <c r="H27" s="34"/>
      <c r="I27" s="21"/>
      <c r="K27" s="21"/>
      <c r="L27" s="34"/>
      <c r="M27" s="128"/>
      <c r="N27" s="2"/>
      <c r="O27" s="2"/>
      <c r="P27" s="130"/>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row>
    <row r="28" spans="1:63" ht="15">
      <c r="A28" s="67"/>
      <c r="C28" s="18" t="s">
        <v>156</v>
      </c>
      <c r="D28" s="21"/>
      <c r="E28" s="21"/>
      <c r="F28" s="21"/>
      <c r="G28" s="21"/>
      <c r="H28" s="21"/>
      <c r="I28" s="21"/>
      <c r="J28" s="21"/>
      <c r="K28" s="21"/>
      <c r="L28" s="21"/>
      <c r="M28" s="128"/>
      <c r="N28" s="2"/>
      <c r="O28" s="2"/>
      <c r="P28" s="130"/>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row>
    <row r="29" spans="1:63" ht="15">
      <c r="A29" s="67">
        <v>13</v>
      </c>
      <c r="C29" s="18" t="str">
        <f>+C21</f>
        <v>  Production</v>
      </c>
      <c r="D29" s="21" t="s">
        <v>767</v>
      </c>
      <c r="E29" s="21">
        <f>E13-E21</f>
        <v>1058065309</v>
      </c>
      <c r="F29" s="21"/>
      <c r="G29" s="21"/>
      <c r="H29" s="34"/>
      <c r="I29" s="21"/>
      <c r="J29" s="21" t="s">
        <v>105</v>
      </c>
      <c r="K29" s="21"/>
      <c r="L29" s="34"/>
      <c r="M29" s="128"/>
      <c r="N29" s="2"/>
      <c r="O29" s="2"/>
      <c r="P29" s="130"/>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row>
    <row r="30" spans="1:63" ht="15">
      <c r="A30" s="67">
        <v>14</v>
      </c>
      <c r="C30" s="18" t="str">
        <f>+C22</f>
        <v>  Transmission</v>
      </c>
      <c r="D30" s="21" t="s">
        <v>768</v>
      </c>
      <c r="E30" s="21">
        <f>E14-E22</f>
        <v>161059085</v>
      </c>
      <c r="F30" s="21"/>
      <c r="G30" s="21"/>
      <c r="H30" s="30"/>
      <c r="I30" s="21"/>
      <c r="J30" s="21">
        <f>J14-J22</f>
        <v>161059085</v>
      </c>
      <c r="K30" s="21"/>
      <c r="L30" s="34"/>
      <c r="M30" s="128"/>
      <c r="N30" s="2"/>
      <c r="O30" s="2"/>
      <c r="P30" s="130"/>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row>
    <row r="31" spans="1:63" ht="15">
      <c r="A31" s="67">
        <v>15</v>
      </c>
      <c r="C31" s="18" t="str">
        <f>+C23</f>
        <v>  Distribution</v>
      </c>
      <c r="D31" s="21" t="s">
        <v>769</v>
      </c>
      <c r="E31" s="21">
        <f>E15-E23</f>
        <v>416817804</v>
      </c>
      <c r="F31" s="21"/>
      <c r="G31" s="21"/>
      <c r="H31" s="34"/>
      <c r="I31" s="21"/>
      <c r="J31" s="21" t="s">
        <v>105</v>
      </c>
      <c r="K31" s="21"/>
      <c r="L31" s="34"/>
      <c r="M31" s="128"/>
      <c r="N31" s="2"/>
      <c r="O31" s="2"/>
      <c r="P31" s="130"/>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row>
    <row r="32" spans="1:63" ht="15">
      <c r="A32" s="67">
        <v>16</v>
      </c>
      <c r="C32" s="18" t="str">
        <f>+C24</f>
        <v>  General &amp; Intangible</v>
      </c>
      <c r="D32" s="21" t="s">
        <v>770</v>
      </c>
      <c r="E32" s="21">
        <f>E16-E24</f>
        <v>59029991</v>
      </c>
      <c r="F32" s="21"/>
      <c r="G32" s="21"/>
      <c r="H32" s="34"/>
      <c r="I32" s="21"/>
      <c r="J32" s="21">
        <f>J16-J24</f>
        <v>5305600.832494538</v>
      </c>
      <c r="K32" s="21"/>
      <c r="L32" s="34"/>
      <c r="M32" s="128"/>
      <c r="N32" s="2"/>
      <c r="O32" s="131"/>
      <c r="P32" s="130"/>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row>
    <row r="33" spans="1:63" ht="15" thickBot="1">
      <c r="A33" s="67">
        <v>17</v>
      </c>
      <c r="C33" s="18" t="str">
        <f>+C25</f>
        <v>  Common</v>
      </c>
      <c r="D33" s="21" t="s">
        <v>771</v>
      </c>
      <c r="E33" s="61">
        <f>E17-E25</f>
        <v>0</v>
      </c>
      <c r="F33" s="21"/>
      <c r="G33" s="21"/>
      <c r="H33" s="34"/>
      <c r="I33" s="21"/>
      <c r="J33" s="61">
        <f>J17-J25</f>
        <v>0</v>
      </c>
      <c r="K33" s="21"/>
      <c r="L33" s="34"/>
      <c r="M33" s="128"/>
      <c r="N33" s="2"/>
      <c r="O33" s="131"/>
      <c r="P33" s="130"/>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row>
    <row r="34" spans="1:63" ht="15">
      <c r="A34" s="67">
        <v>18</v>
      </c>
      <c r="C34" s="18" t="s">
        <v>157</v>
      </c>
      <c r="D34" s="21"/>
      <c r="E34" s="21">
        <f>SUM(E29:E33)</f>
        <v>1694972189</v>
      </c>
      <c r="F34" s="21"/>
      <c r="G34" s="21" t="s">
        <v>158</v>
      </c>
      <c r="H34" s="47">
        <f>IF(J34&gt;0,J34/E34,0)</f>
        <v>0.09815186757173072</v>
      </c>
      <c r="I34" s="21"/>
      <c r="J34" s="21">
        <f>SUM(J29:J33)</f>
        <v>166364685.83249453</v>
      </c>
      <c r="K34" s="21"/>
      <c r="L34" s="21"/>
      <c r="M34" s="128"/>
      <c r="N34" s="133"/>
      <c r="O34" s="2"/>
      <c r="P34" s="130"/>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row>
    <row r="35" spans="1:63" ht="15">
      <c r="A35" s="67"/>
      <c r="D35" s="167"/>
      <c r="F35" s="21"/>
      <c r="I35" s="21"/>
      <c r="K35" s="21"/>
      <c r="L35" s="34"/>
      <c r="M35" s="128"/>
      <c r="N35" s="2"/>
      <c r="O35" s="2"/>
      <c r="P35" s="130"/>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row>
    <row r="36" spans="1:63" ht="15">
      <c r="A36" s="67"/>
      <c r="C36" s="48" t="s">
        <v>84</v>
      </c>
      <c r="D36" s="55"/>
      <c r="E36" s="21"/>
      <c r="F36" s="21"/>
      <c r="G36" s="21"/>
      <c r="H36" s="21"/>
      <c r="I36" s="21"/>
      <c r="J36" s="21"/>
      <c r="K36" s="21"/>
      <c r="L36" s="21"/>
      <c r="M36" s="128"/>
      <c r="N36" s="2" t="s">
        <v>105</v>
      </c>
      <c r="O36" s="2"/>
      <c r="P36" s="130"/>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row>
    <row r="37" spans="1:63" ht="15" thickBot="1">
      <c r="A37" s="67">
        <v>19</v>
      </c>
      <c r="C37" s="18" t="s">
        <v>401</v>
      </c>
      <c r="D37" s="55" t="s">
        <v>776</v>
      </c>
      <c r="E37" s="115">
        <f>SUM('Worksheet G'!D14:H14)</f>
        <v>-536200884.33</v>
      </c>
      <c r="F37" s="21" t="s">
        <v>105</v>
      </c>
      <c r="G37" s="55" t="s">
        <v>652</v>
      </c>
      <c r="H37" s="55"/>
      <c r="I37" s="55"/>
      <c r="J37" s="115">
        <f>SUM('Worksheet G'!E17:G17)</f>
        <v>-38997479.08023032</v>
      </c>
      <c r="K37" s="21"/>
      <c r="L37" s="34"/>
      <c r="M37" s="128"/>
      <c r="N37" s="134"/>
      <c r="O37" s="131"/>
      <c r="P37" s="130"/>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row>
    <row r="38" spans="1:63" ht="15">
      <c r="A38" s="67">
        <v>20</v>
      </c>
      <c r="C38" s="18" t="s">
        <v>653</v>
      </c>
      <c r="D38" s="21" t="s">
        <v>745</v>
      </c>
      <c r="E38" s="55">
        <f>+E37</f>
        <v>-536200884.33</v>
      </c>
      <c r="F38" s="21"/>
      <c r="G38" s="21"/>
      <c r="H38" s="21"/>
      <c r="I38" s="21"/>
      <c r="J38" s="55">
        <f>+J37</f>
        <v>-38997479.08023032</v>
      </c>
      <c r="K38" s="21"/>
      <c r="L38" s="34"/>
      <c r="M38" s="128"/>
      <c r="N38" s="134"/>
      <c r="O38" s="131"/>
      <c r="P38" s="130"/>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row>
    <row r="39" spans="1:63" ht="15">
      <c r="A39" s="67"/>
      <c r="D39" s="21"/>
      <c r="F39" s="21"/>
      <c r="G39" s="21"/>
      <c r="H39" s="34"/>
      <c r="I39" s="21"/>
      <c r="K39" s="21"/>
      <c r="L39" s="34"/>
      <c r="M39" s="128"/>
      <c r="N39" s="2"/>
      <c r="O39" s="2"/>
      <c r="P39" s="130"/>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row>
    <row r="40" spans="1:63" ht="15">
      <c r="A40" s="67">
        <v>21</v>
      </c>
      <c r="C40" s="48" t="s">
        <v>160</v>
      </c>
      <c r="D40" s="21" t="s">
        <v>738</v>
      </c>
      <c r="E40" s="91">
        <v>0</v>
      </c>
      <c r="F40" s="21"/>
      <c r="G40" s="21" t="str">
        <f>+G22</f>
        <v>TP</v>
      </c>
      <c r="H40" s="30">
        <f>+H22</f>
        <v>1</v>
      </c>
      <c r="I40" s="21"/>
      <c r="J40" s="21">
        <f>+H40*E40</f>
        <v>0</v>
      </c>
      <c r="K40" s="21"/>
      <c r="L40" s="21"/>
      <c r="M40" s="128"/>
      <c r="N40" s="2"/>
      <c r="O40" s="2"/>
      <c r="P40" s="130"/>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row>
    <row r="41" spans="1:63" ht="15">
      <c r="A41" s="67"/>
      <c r="C41" s="18"/>
      <c r="D41" s="21"/>
      <c r="E41" s="21"/>
      <c r="F41" s="21"/>
      <c r="G41" s="21"/>
      <c r="H41" s="21"/>
      <c r="I41" s="21"/>
      <c r="J41" s="21"/>
      <c r="K41" s="21"/>
      <c r="L41" s="21"/>
      <c r="M41" s="128"/>
      <c r="N41" s="2"/>
      <c r="O41" s="2"/>
      <c r="P41" s="130"/>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row>
    <row r="42" spans="1:63" ht="15">
      <c r="A42" s="67"/>
      <c r="C42" s="18" t="s">
        <v>739</v>
      </c>
      <c r="D42" s="167"/>
      <c r="E42" s="21"/>
      <c r="F42" s="21"/>
      <c r="G42" s="21"/>
      <c r="H42" s="21"/>
      <c r="I42" s="21"/>
      <c r="J42" s="21"/>
      <c r="K42" s="21"/>
      <c r="L42" s="21"/>
      <c r="M42" s="128"/>
      <c r="N42" s="2"/>
      <c r="O42" s="2"/>
      <c r="P42" s="130"/>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row>
    <row r="43" spans="1:63" ht="15">
      <c r="A43" s="67">
        <v>22</v>
      </c>
      <c r="C43" s="18" t="s">
        <v>267</v>
      </c>
      <c r="D43" t="s">
        <v>741</v>
      </c>
      <c r="E43" s="21">
        <f>+E69/8</f>
        <v>13969677.486249998</v>
      </c>
      <c r="F43" s="21"/>
      <c r="G43" s="21"/>
      <c r="H43" s="34"/>
      <c r="I43" s="21"/>
      <c r="J43" s="21">
        <f>+J69/8</f>
        <v>5658659.414048187</v>
      </c>
      <c r="K43" s="16"/>
      <c r="L43" s="34"/>
      <c r="M43" s="128"/>
      <c r="N43" s="135"/>
      <c r="O43" s="131"/>
      <c r="P43" s="130"/>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row>
    <row r="44" spans="1:63" ht="15">
      <c r="A44" s="67">
        <v>23</v>
      </c>
      <c r="C44" s="18" t="s">
        <v>740</v>
      </c>
      <c r="D44" s="21" t="s">
        <v>742</v>
      </c>
      <c r="E44" s="160">
        <f>2955708+265493</f>
        <v>3221201</v>
      </c>
      <c r="F44" s="21"/>
      <c r="G44" s="21" t="s">
        <v>161</v>
      </c>
      <c r="H44" s="30">
        <f>J133</f>
        <v>0.9915372719184873</v>
      </c>
      <c r="I44" s="21"/>
      <c r="J44" s="21">
        <f>+H44*E44</f>
        <v>3193940.8518411033</v>
      </c>
      <c r="K44" s="21" t="s">
        <v>105</v>
      </c>
      <c r="L44" s="34"/>
      <c r="M44" s="128"/>
      <c r="N44" s="135"/>
      <c r="O44" s="131"/>
      <c r="P44" s="130"/>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row>
    <row r="45" spans="1:63" ht="15" thickBot="1">
      <c r="A45" s="67">
        <v>24</v>
      </c>
      <c r="C45" s="18" t="s">
        <v>75</v>
      </c>
      <c r="D45" s="18" t="s">
        <v>726</v>
      </c>
      <c r="E45" s="163">
        <v>25169723</v>
      </c>
      <c r="F45" s="21" t="s">
        <v>105</v>
      </c>
      <c r="G45" s="21" t="s">
        <v>162</v>
      </c>
      <c r="H45" s="123">
        <f>H18</f>
        <v>0.09657098046992214</v>
      </c>
      <c r="I45" s="55"/>
      <c r="J45" s="115">
        <f>H45*E45</f>
        <v>2430664.82826635</v>
      </c>
      <c r="K45" s="21"/>
      <c r="L45" s="34"/>
      <c r="M45" s="128"/>
      <c r="N45" s="135"/>
      <c r="O45" s="131"/>
      <c r="P45" s="130"/>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row>
    <row r="46" spans="1:63" ht="15">
      <c r="A46" s="67">
        <v>25</v>
      </c>
      <c r="C46" s="18" t="s">
        <v>597</v>
      </c>
      <c r="D46" s="16"/>
      <c r="E46" s="21">
        <f>E43+E44+E45</f>
        <v>42360601.48625</v>
      </c>
      <c r="F46" s="16"/>
      <c r="G46" s="16"/>
      <c r="H46" s="16"/>
      <c r="I46" s="16"/>
      <c r="J46" s="21">
        <f>J43+J44+J45</f>
        <v>11283265.094155641</v>
      </c>
      <c r="K46" s="16"/>
      <c r="L46" s="16"/>
      <c r="M46" s="128"/>
      <c r="N46" s="132"/>
      <c r="O46" s="2"/>
      <c r="P46" s="130"/>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row>
    <row r="47" spans="4:63" ht="15" thickBot="1">
      <c r="D47" s="21"/>
      <c r="E47" s="75"/>
      <c r="F47" s="21"/>
      <c r="G47" s="21"/>
      <c r="H47" s="21"/>
      <c r="I47" s="21"/>
      <c r="J47" s="75"/>
      <c r="K47" s="21"/>
      <c r="L47" s="21"/>
      <c r="M47" s="128"/>
      <c r="N47" s="2"/>
      <c r="O47" s="2"/>
      <c r="P47" s="130"/>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row>
    <row r="48" spans="1:63" ht="15" thickBot="1">
      <c r="A48" s="67">
        <v>26</v>
      </c>
      <c r="C48" s="18" t="s">
        <v>744</v>
      </c>
      <c r="D48" s="21"/>
      <c r="E48" s="74">
        <f>+E46+E40+E38+E34</f>
        <v>1201131906.15625</v>
      </c>
      <c r="F48" s="21"/>
      <c r="G48" s="21"/>
      <c r="H48" s="34"/>
      <c r="I48" s="21"/>
      <c r="J48" s="74">
        <f>+J46+J40+J38+J34</f>
        <v>138650471.84641984</v>
      </c>
      <c r="K48" s="21"/>
      <c r="L48" s="34"/>
      <c r="M48" s="2"/>
      <c r="N48" s="2"/>
      <c r="O48" s="2"/>
      <c r="P48" s="130"/>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row>
    <row r="49" spans="1:63" ht="15" thickTop="1">
      <c r="A49" s="67"/>
      <c r="C49" s="18"/>
      <c r="D49" s="512" t="str">
        <f>+D1</f>
        <v>Rate Formula Template</v>
      </c>
      <c r="E49" s="516"/>
      <c r="F49" s="512"/>
      <c r="G49" s="21"/>
      <c r="J49" s="172" t="str">
        <f>+J1</f>
        <v> </v>
      </c>
      <c r="K49" s="21"/>
      <c r="L49" s="21"/>
      <c r="M49" s="2"/>
      <c r="N49" s="2"/>
      <c r="O49" s="2"/>
      <c r="P49" s="130"/>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row>
    <row r="50" spans="1:63" ht="15">
      <c r="A50" s="67"/>
      <c r="C50" s="18"/>
      <c r="D50" s="512" t="str">
        <f>+D2</f>
        <v>Utilizing FERC Form 1 Data</v>
      </c>
      <c r="E50" s="516"/>
      <c r="F50" s="512"/>
      <c r="G50" s="21"/>
      <c r="H50" s="21"/>
      <c r="J50" s="172" t="str">
        <f>+J2</f>
        <v>Schedule WES</v>
      </c>
      <c r="K50" s="21"/>
      <c r="L50" s="21"/>
      <c r="M50" s="2"/>
      <c r="N50" s="2"/>
      <c r="O50" s="2"/>
      <c r="P50" s="130"/>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row>
    <row r="51" spans="1:63" ht="15">
      <c r="A51" s="67"/>
      <c r="D51" s="512" t="str">
        <f>+D3</f>
        <v>For the 12 months ended 12/31/05</v>
      </c>
      <c r="E51" s="516"/>
      <c r="F51" s="512"/>
      <c r="G51" s="21"/>
      <c r="H51" s="21"/>
      <c r="I51" s="21"/>
      <c r="J51" s="391" t="s">
        <v>86</v>
      </c>
      <c r="K51" s="21"/>
      <c r="L51" s="21"/>
      <c r="M51" s="2"/>
      <c r="N51" s="2"/>
      <c r="O51" s="2"/>
      <c r="P51" s="130"/>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row>
    <row r="52" spans="1:63" ht="15">
      <c r="A52" s="67"/>
      <c r="D52" s="21"/>
      <c r="E52" s="21"/>
      <c r="F52" s="21"/>
      <c r="G52" s="21"/>
      <c r="H52" s="21"/>
      <c r="I52" s="21"/>
      <c r="K52" s="21"/>
      <c r="L52" s="21"/>
      <c r="M52" s="2"/>
      <c r="N52" s="2"/>
      <c r="O52" s="2"/>
      <c r="P52" s="130"/>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row>
    <row r="53" spans="1:63" ht="15">
      <c r="A53" s="67"/>
      <c r="D53" s="512" t="str">
        <f>+D5</f>
        <v>KANSAS GAS AND ELECTRIC COMPANY</v>
      </c>
      <c r="E53" s="516"/>
      <c r="F53" s="512"/>
      <c r="G53" s="28"/>
      <c r="H53" s="28"/>
      <c r="I53" s="21"/>
      <c r="K53" s="21"/>
      <c r="L53" s="21"/>
      <c r="M53" s="2"/>
      <c r="N53" s="2"/>
      <c r="O53" s="2"/>
      <c r="P53" s="130"/>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row>
    <row r="54" spans="1:63" ht="15">
      <c r="A54" s="67"/>
      <c r="D54" s="512" t="str">
        <f>+D6</f>
        <v>(WES)</v>
      </c>
      <c r="E54" s="516"/>
      <c r="F54" s="512"/>
      <c r="G54" s="28"/>
      <c r="H54" s="28"/>
      <c r="I54" s="28"/>
      <c r="J54" s="28"/>
      <c r="K54" s="21"/>
      <c r="L54" s="21"/>
      <c r="M54" s="2"/>
      <c r="N54" s="2"/>
      <c r="O54" s="2"/>
      <c r="P54" s="130"/>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row>
    <row r="55" spans="1:63" ht="15">
      <c r="A55" s="67"/>
      <c r="C55" s="20" t="s">
        <v>131</v>
      </c>
      <c r="D55" s="20" t="s">
        <v>132</v>
      </c>
      <c r="E55" s="20" t="s">
        <v>133</v>
      </c>
      <c r="F55" s="21" t="s">
        <v>105</v>
      </c>
      <c r="G55" s="21"/>
      <c r="H55" s="23" t="s">
        <v>134</v>
      </c>
      <c r="I55" s="21"/>
      <c r="J55" s="24" t="s">
        <v>135</v>
      </c>
      <c r="K55" s="21"/>
      <c r="L55" s="21"/>
      <c r="M55" s="2"/>
      <c r="N55" s="128"/>
      <c r="O55" s="2"/>
      <c r="P55" s="130"/>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row>
    <row r="56" spans="1:63" ht="15">
      <c r="A56" s="67"/>
      <c r="C56" s="20"/>
      <c r="D56" s="3"/>
      <c r="E56" s="3"/>
      <c r="F56" s="3"/>
      <c r="G56" s="3"/>
      <c r="H56" s="3"/>
      <c r="I56" s="3"/>
      <c r="J56" s="3"/>
      <c r="K56" s="3"/>
      <c r="L56" s="51"/>
      <c r="M56" s="3"/>
      <c r="N56" s="3"/>
      <c r="O56" s="2"/>
      <c r="P56" s="130"/>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row>
    <row r="57" spans="1:63" ht="15">
      <c r="A57" s="67" t="s">
        <v>106</v>
      </c>
      <c r="C57" s="18"/>
      <c r="D57" s="46" t="s">
        <v>136</v>
      </c>
      <c r="E57" s="21"/>
      <c r="F57" s="21"/>
      <c r="G57" s="21"/>
      <c r="H57" s="50"/>
      <c r="I57" s="21"/>
      <c r="J57" s="51" t="s">
        <v>137</v>
      </c>
      <c r="K57" s="21"/>
      <c r="L57" s="51"/>
      <c r="M57" s="21"/>
      <c r="N57" s="50"/>
      <c r="O57" s="2"/>
      <c r="P57" s="130"/>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row>
    <row r="58" spans="1:63" ht="15.75" thickBot="1">
      <c r="A58" s="68" t="s">
        <v>110</v>
      </c>
      <c r="C58" s="18"/>
      <c r="D58" s="71" t="s">
        <v>138</v>
      </c>
      <c r="E58" s="51" t="s">
        <v>139</v>
      </c>
      <c r="F58" s="72"/>
      <c r="G58" s="51" t="s">
        <v>140</v>
      </c>
      <c r="H58" s="28"/>
      <c r="I58" s="72"/>
      <c r="J58" s="73" t="s">
        <v>141</v>
      </c>
      <c r="K58" s="21"/>
      <c r="L58" s="76"/>
      <c r="M58" s="77"/>
      <c r="N58" s="51"/>
      <c r="O58" s="2"/>
      <c r="P58" s="130"/>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row>
    <row r="59" spans="3:63" ht="15">
      <c r="C59" s="18"/>
      <c r="D59" s="21"/>
      <c r="E59" s="25"/>
      <c r="F59" s="26"/>
      <c r="G59" s="27"/>
      <c r="H59" s="28"/>
      <c r="I59" s="26"/>
      <c r="J59" s="25"/>
      <c r="K59" s="21"/>
      <c r="L59" s="21"/>
      <c r="M59" s="2"/>
      <c r="N59" s="2"/>
      <c r="O59" s="2"/>
      <c r="P59" s="130"/>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row>
    <row r="60" spans="1:63" ht="15">
      <c r="A60" s="67"/>
      <c r="C60" s="18" t="s">
        <v>163</v>
      </c>
      <c r="D60" s="167"/>
      <c r="E60" s="21"/>
      <c r="F60" s="21"/>
      <c r="G60" s="21"/>
      <c r="H60" s="21"/>
      <c r="I60" s="21"/>
      <c r="J60" s="21"/>
      <c r="K60" s="21"/>
      <c r="L60" s="21"/>
      <c r="M60" s="2"/>
      <c r="N60" s="2"/>
      <c r="O60" s="2"/>
      <c r="P60" s="130"/>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row>
    <row r="61" spans="1:63" ht="15">
      <c r="A61" s="67">
        <v>1</v>
      </c>
      <c r="C61" s="121" t="s">
        <v>832</v>
      </c>
      <c r="D61" s="21" t="s">
        <v>164</v>
      </c>
      <c r="E61" s="160">
        <f>+'Worksheet F'!J10</f>
        <v>44812145.25</v>
      </c>
      <c r="F61" s="21"/>
      <c r="G61" s="21" t="s">
        <v>161</v>
      </c>
      <c r="H61" s="30">
        <f>J133</f>
        <v>0.9915372719184873</v>
      </c>
      <c r="I61" s="21"/>
      <c r="J61" s="21">
        <f aca="true" t="shared" si="1" ref="J61:J68">+H61*E61</f>
        <v>44432912.25</v>
      </c>
      <c r="K61" s="16"/>
      <c r="L61" s="21"/>
      <c r="M61" s="2"/>
      <c r="N61" s="2"/>
      <c r="O61" s="131"/>
      <c r="P61" s="2" t="s">
        <v>105</v>
      </c>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row>
    <row r="62" spans="1:63" ht="15">
      <c r="A62" s="67">
        <v>2</v>
      </c>
      <c r="C62" s="18" t="s">
        <v>821</v>
      </c>
      <c r="D62" s="21" t="s">
        <v>165</v>
      </c>
      <c r="E62" s="160">
        <v>5851503</v>
      </c>
      <c r="F62" s="21"/>
      <c r="G62" s="21" t="s">
        <v>105</v>
      </c>
      <c r="H62" s="30">
        <v>1</v>
      </c>
      <c r="I62" s="21"/>
      <c r="J62" s="21">
        <f t="shared" si="1"/>
        <v>5851503</v>
      </c>
      <c r="K62" s="16"/>
      <c r="M62" s="2"/>
      <c r="N62" s="172"/>
      <c r="O62" s="131"/>
      <c r="P62" s="2"/>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row>
    <row r="63" spans="1:63" ht="15">
      <c r="A63" s="67">
        <v>3</v>
      </c>
      <c r="C63" s="18" t="s">
        <v>500</v>
      </c>
      <c r="D63" s="21" t="s">
        <v>166</v>
      </c>
      <c r="E63" s="160">
        <f>74495531-8376241.63+E232</f>
        <v>74102214.28999999</v>
      </c>
      <c r="F63" s="21"/>
      <c r="G63" s="21" t="s">
        <v>149</v>
      </c>
      <c r="H63" s="30">
        <f>+H24</f>
        <v>0.08987974998157357</v>
      </c>
      <c r="I63" s="21"/>
      <c r="J63" s="21">
        <f t="shared" si="1"/>
        <v>6660288.493466187</v>
      </c>
      <c r="K63" s="21"/>
      <c r="M63" s="2"/>
      <c r="N63" s="171"/>
      <c r="O63" s="131"/>
      <c r="P63" s="130"/>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row>
    <row r="64" spans="1:63" ht="15">
      <c r="A64" s="67">
        <v>4</v>
      </c>
      <c r="C64" s="18" t="s">
        <v>167</v>
      </c>
      <c r="D64" s="21"/>
      <c r="E64" s="91">
        <v>181473</v>
      </c>
      <c r="F64" s="21"/>
      <c r="G64" s="21" t="str">
        <f>+G63</f>
        <v>W/S</v>
      </c>
      <c r="H64" s="30">
        <f>+H63</f>
        <v>0.08987974998157357</v>
      </c>
      <c r="I64" s="21"/>
      <c r="J64" s="21">
        <f t="shared" si="1"/>
        <v>16310.7478684061</v>
      </c>
      <c r="K64" s="21"/>
      <c r="M64" s="2"/>
      <c r="N64" s="10"/>
      <c r="O64" s="131"/>
      <c r="P64" s="130"/>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row>
    <row r="65" spans="1:63" ht="15">
      <c r="A65" s="67">
        <v>5</v>
      </c>
      <c r="C65" s="121" t="s">
        <v>0</v>
      </c>
      <c r="D65" s="55"/>
      <c r="E65" s="160">
        <f>1405872.67-E64+60278.98</f>
        <v>1284678.65</v>
      </c>
      <c r="F65" s="21"/>
      <c r="G65" s="21" t="str">
        <f>+G64</f>
        <v>W/S</v>
      </c>
      <c r="H65" s="30">
        <f>+H64</f>
        <v>0.08987974998157357</v>
      </c>
      <c r="I65" s="21"/>
      <c r="J65" s="21">
        <f t="shared" si="1"/>
        <v>115466.59586866545</v>
      </c>
      <c r="K65" s="21"/>
      <c r="M65" s="2"/>
      <c r="N65" s="173"/>
      <c r="O65" s="131"/>
      <c r="P65" s="130"/>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row>
    <row r="66" spans="1:63" ht="15">
      <c r="A66" s="67" t="s">
        <v>275</v>
      </c>
      <c r="C66" s="121" t="s">
        <v>823</v>
      </c>
      <c r="D66" s="55"/>
      <c r="E66" s="91">
        <v>160715</v>
      </c>
      <c r="F66" s="21"/>
      <c r="G66" s="126" t="str">
        <f>+G61</f>
        <v>TE</v>
      </c>
      <c r="H66" s="123">
        <f>+H61</f>
        <v>0.9915372719184873</v>
      </c>
      <c r="I66" s="21"/>
      <c r="J66" s="21">
        <f t="shared" si="1"/>
        <v>159354.9126563797</v>
      </c>
      <c r="K66" s="21"/>
      <c r="M66" s="2"/>
      <c r="N66" s="173"/>
      <c r="O66" s="131"/>
      <c r="P66" s="130"/>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row>
    <row r="67" spans="1:63" ht="15">
      <c r="A67" s="67">
        <v>6</v>
      </c>
      <c r="C67" s="18" t="s">
        <v>150</v>
      </c>
      <c r="D67" s="21" t="str">
        <f>+D25</f>
        <v>356.1</v>
      </c>
      <c r="E67" s="91">
        <v>0</v>
      </c>
      <c r="F67" s="21"/>
      <c r="G67" s="21" t="s">
        <v>206</v>
      </c>
      <c r="H67" s="30">
        <f>+H25</f>
        <v>0.08987974998157357</v>
      </c>
      <c r="I67" s="21"/>
      <c r="J67" s="21">
        <f t="shared" si="1"/>
        <v>0</v>
      </c>
      <c r="K67" s="21"/>
      <c r="M67" s="2"/>
      <c r="N67" s="10"/>
      <c r="O67" s="131"/>
      <c r="P67" s="130"/>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row>
    <row r="68" spans="1:63" ht="15" thickBot="1">
      <c r="A68" s="67">
        <v>7</v>
      </c>
      <c r="C68" s="18" t="s">
        <v>168</v>
      </c>
      <c r="D68" s="21"/>
      <c r="E68" s="92">
        <v>0</v>
      </c>
      <c r="F68" s="21"/>
      <c r="G68" s="21" t="s">
        <v>105</v>
      </c>
      <c r="H68" s="30">
        <v>1</v>
      </c>
      <c r="I68" s="21"/>
      <c r="J68" s="61">
        <f t="shared" si="1"/>
        <v>0</v>
      </c>
      <c r="K68" s="21"/>
      <c r="L68" s="21"/>
      <c r="M68" s="2"/>
      <c r="N68" s="2"/>
      <c r="O68" s="131"/>
      <c r="P68" s="130"/>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row>
    <row r="69" spans="1:63" ht="15">
      <c r="A69" s="67">
        <v>8</v>
      </c>
      <c r="C69" s="18" t="s">
        <v>276</v>
      </c>
      <c r="D69" s="21"/>
      <c r="E69" s="21">
        <f>+E61-E62+E63-E64-E65+E67+E68+E66</f>
        <v>111757419.88999999</v>
      </c>
      <c r="F69" s="21"/>
      <c r="G69" s="21"/>
      <c r="H69" s="21"/>
      <c r="I69" s="21"/>
      <c r="J69" s="21">
        <f>+J61-J62+J63-J64-J65+J67+J68+J66</f>
        <v>45269275.3123855</v>
      </c>
      <c r="K69" s="21"/>
      <c r="L69" s="21"/>
      <c r="M69" s="2"/>
      <c r="N69" s="132"/>
      <c r="O69" s="2"/>
      <c r="P69" s="130"/>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row>
    <row r="70" spans="1:63" ht="15">
      <c r="A70" s="67"/>
      <c r="D70" s="21"/>
      <c r="F70" s="21"/>
      <c r="G70" s="21"/>
      <c r="H70" s="21"/>
      <c r="I70" s="21"/>
      <c r="K70" s="21"/>
      <c r="L70" s="21"/>
      <c r="M70" s="2"/>
      <c r="N70" s="21"/>
      <c r="O70" s="2"/>
      <c r="P70" s="130"/>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row>
    <row r="71" spans="1:63" ht="15">
      <c r="A71" s="67"/>
      <c r="C71" s="18" t="s">
        <v>169</v>
      </c>
      <c r="D71" s="167"/>
      <c r="E71" s="21"/>
      <c r="F71" s="21"/>
      <c r="G71" s="21"/>
      <c r="H71" s="21"/>
      <c r="I71" s="21"/>
      <c r="J71" s="21"/>
      <c r="K71" s="21"/>
      <c r="L71" s="21"/>
      <c r="M71" s="2"/>
      <c r="N71" s="21"/>
      <c r="O71" s="2"/>
      <c r="P71" s="130"/>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row>
    <row r="72" spans="1:63" ht="15">
      <c r="A72" s="67">
        <v>9</v>
      </c>
      <c r="C72" s="121" t="s">
        <v>146</v>
      </c>
      <c r="D72" s="21" t="s">
        <v>170</v>
      </c>
      <c r="E72" s="162">
        <v>6296474</v>
      </c>
      <c r="F72" s="21"/>
      <c r="G72" s="21" t="s">
        <v>115</v>
      </c>
      <c r="H72" s="30">
        <f>+H40</f>
        <v>1</v>
      </c>
      <c r="I72" s="21"/>
      <c r="J72" s="21">
        <f>+H72*E72</f>
        <v>6296474</v>
      </c>
      <c r="K72" s="21"/>
      <c r="L72" s="34"/>
      <c r="M72" s="2"/>
      <c r="N72" s="21"/>
      <c r="O72" s="131"/>
      <c r="P72" s="2" t="s">
        <v>105</v>
      </c>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row>
    <row r="73" spans="1:63" ht="15">
      <c r="A73" s="67">
        <v>10</v>
      </c>
      <c r="C73" s="18" t="s">
        <v>171</v>
      </c>
      <c r="D73" s="21" t="s">
        <v>172</v>
      </c>
      <c r="E73" s="160">
        <v>4472102</v>
      </c>
      <c r="F73" s="21"/>
      <c r="G73" s="21" t="s">
        <v>149</v>
      </c>
      <c r="H73" s="30">
        <f>+H63</f>
        <v>0.08987974998157357</v>
      </c>
      <c r="I73" s="21"/>
      <c r="J73" s="21">
        <f>+H73*E73</f>
        <v>401951.4096520951</v>
      </c>
      <c r="K73" s="21"/>
      <c r="L73" s="34"/>
      <c r="M73" s="2"/>
      <c r="N73" s="21"/>
      <c r="O73" s="131"/>
      <c r="P73" s="2" t="s">
        <v>105</v>
      </c>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row>
    <row r="74" spans="1:63" ht="15" thickBot="1">
      <c r="A74" s="67">
        <v>11</v>
      </c>
      <c r="C74" s="18" t="str">
        <f>+C67</f>
        <v>  Common</v>
      </c>
      <c r="D74" s="21" t="s">
        <v>173</v>
      </c>
      <c r="E74" s="92">
        <v>0</v>
      </c>
      <c r="F74" s="21"/>
      <c r="G74" s="21" t="s">
        <v>206</v>
      </c>
      <c r="H74" s="30">
        <f>+H67</f>
        <v>0.08987974998157357</v>
      </c>
      <c r="I74" s="21"/>
      <c r="J74" s="61">
        <f>+H74*E74</f>
        <v>0</v>
      </c>
      <c r="K74" s="21"/>
      <c r="L74" s="34"/>
      <c r="M74" s="2"/>
      <c r="N74" s="21"/>
      <c r="O74" s="131"/>
      <c r="P74" s="2" t="s">
        <v>105</v>
      </c>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row>
    <row r="75" spans="1:63" ht="15">
      <c r="A75" s="67">
        <v>12</v>
      </c>
      <c r="C75" s="18" t="s">
        <v>174</v>
      </c>
      <c r="D75" s="21"/>
      <c r="E75" s="21">
        <f>SUM(E72:E74)</f>
        <v>10768576</v>
      </c>
      <c r="F75" s="21"/>
      <c r="G75" s="21"/>
      <c r="H75" s="21"/>
      <c r="I75" s="21"/>
      <c r="J75" s="21">
        <f>SUM(J72:J74)</f>
        <v>6698425.409652095</v>
      </c>
      <c r="K75" s="21"/>
      <c r="L75" s="21"/>
      <c r="M75" s="2"/>
      <c r="N75" s="21"/>
      <c r="O75" s="2"/>
      <c r="P75" s="130"/>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row>
    <row r="76" spans="1:63" ht="15">
      <c r="A76" s="67"/>
      <c r="C76" s="18"/>
      <c r="D76" s="167"/>
      <c r="E76" s="21"/>
      <c r="F76" s="21"/>
      <c r="G76" s="21"/>
      <c r="H76" s="21"/>
      <c r="I76" s="21"/>
      <c r="J76" s="21"/>
      <c r="K76" s="21"/>
      <c r="L76" s="21"/>
      <c r="M76" s="2"/>
      <c r="N76" s="21"/>
      <c r="O76" s="2"/>
      <c r="P76" s="130"/>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row>
    <row r="77" spans="1:63" ht="15">
      <c r="A77" s="67" t="s">
        <v>105</v>
      </c>
      <c r="C77" s="18" t="s">
        <v>824</v>
      </c>
      <c r="D77" s="28"/>
      <c r="E77" s="21"/>
      <c r="F77" s="21"/>
      <c r="G77" s="21"/>
      <c r="H77" s="21"/>
      <c r="I77" s="21"/>
      <c r="J77" s="21"/>
      <c r="K77" s="21"/>
      <c r="L77" s="21"/>
      <c r="M77" s="2"/>
      <c r="N77" s="21"/>
      <c r="O77" s="2"/>
      <c r="P77" s="130"/>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row>
    <row r="78" spans="1:63" ht="15">
      <c r="A78" s="67"/>
      <c r="C78" s="18" t="s">
        <v>175</v>
      </c>
      <c r="D78" s="28"/>
      <c r="E78" s="28"/>
      <c r="F78" s="21"/>
      <c r="G78" s="21"/>
      <c r="H78" s="28"/>
      <c r="I78" s="21"/>
      <c r="J78" s="28"/>
      <c r="K78" s="21"/>
      <c r="L78" s="34"/>
      <c r="M78" s="2"/>
      <c r="N78" s="135"/>
      <c r="O78" s="131"/>
      <c r="P78" s="130"/>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row>
    <row r="79" spans="1:63" ht="15">
      <c r="A79" s="67">
        <v>13</v>
      </c>
      <c r="C79" s="18" t="s">
        <v>176</v>
      </c>
      <c r="D79" s="21" t="s">
        <v>368</v>
      </c>
      <c r="E79" s="160">
        <f>5024768+4840+13468-60353</f>
        <v>4982723</v>
      </c>
      <c r="F79" s="21"/>
      <c r="G79" s="21" t="s">
        <v>149</v>
      </c>
      <c r="H79" s="36">
        <f>+H73</f>
        <v>0.08987974998157357</v>
      </c>
      <c r="I79" s="21"/>
      <c r="J79" s="21">
        <f>+H79*E79</f>
        <v>447845.8974674362</v>
      </c>
      <c r="K79" s="21"/>
      <c r="L79" s="34"/>
      <c r="M79" s="2"/>
      <c r="N79" s="135"/>
      <c r="O79" s="131"/>
      <c r="P79" s="130"/>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row>
    <row r="80" spans="1:63" ht="15">
      <c r="A80" s="67">
        <v>14</v>
      </c>
      <c r="C80" s="18" t="s">
        <v>177</v>
      </c>
      <c r="D80" s="21" t="str">
        <f>+D79</f>
        <v>263.i</v>
      </c>
      <c r="E80" s="91">
        <v>0</v>
      </c>
      <c r="F80" s="21"/>
      <c r="G80" s="21" t="str">
        <f>+G79</f>
        <v>W/S</v>
      </c>
      <c r="H80" s="36">
        <f>+H79</f>
        <v>0.08987974998157357</v>
      </c>
      <c r="I80" s="21"/>
      <c r="J80" s="21">
        <f>+H80*E80</f>
        <v>0</v>
      </c>
      <c r="K80" s="21"/>
      <c r="L80" s="34"/>
      <c r="M80" s="2"/>
      <c r="N80" s="135"/>
      <c r="O80" s="131"/>
      <c r="P80" s="130"/>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row>
    <row r="81" spans="1:63" ht="15">
      <c r="A81" s="67">
        <v>15</v>
      </c>
      <c r="C81" s="18" t="s">
        <v>178</v>
      </c>
      <c r="D81" s="21" t="s">
        <v>105</v>
      </c>
      <c r="E81" s="28"/>
      <c r="F81" s="21"/>
      <c r="G81" s="21"/>
      <c r="H81" s="28"/>
      <c r="I81" s="21"/>
      <c r="J81" s="28"/>
      <c r="K81" s="21"/>
      <c r="L81" s="34"/>
      <c r="M81" s="2"/>
      <c r="N81" s="135"/>
      <c r="O81" s="131"/>
      <c r="P81" s="130"/>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row>
    <row r="82" spans="1:63" ht="15">
      <c r="A82" s="67">
        <v>16</v>
      </c>
      <c r="C82" s="18" t="s">
        <v>761</v>
      </c>
      <c r="D82" s="21" t="s">
        <v>368</v>
      </c>
      <c r="E82" s="160">
        <v>30512650</v>
      </c>
      <c r="F82" s="375"/>
      <c r="G82" s="375" t="s">
        <v>762</v>
      </c>
      <c r="H82" s="36">
        <f>+H18</f>
        <v>0.09657098046992214</v>
      </c>
      <c r="I82" s="21"/>
      <c r="J82" s="21">
        <f>+H82*E82</f>
        <v>2946636.52723557</v>
      </c>
      <c r="K82" s="21"/>
      <c r="L82" s="34"/>
      <c r="M82" s="2"/>
      <c r="N82" s="135"/>
      <c r="O82" s="131"/>
      <c r="P82" s="130"/>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row>
    <row r="83" spans="1:63" ht="15">
      <c r="A83" s="67">
        <v>17</v>
      </c>
      <c r="C83" s="18" t="s">
        <v>179</v>
      </c>
      <c r="D83" s="21" t="s">
        <v>368</v>
      </c>
      <c r="E83" s="91">
        <v>0</v>
      </c>
      <c r="F83" s="21"/>
      <c r="G83" s="55" t="s">
        <v>145</v>
      </c>
      <c r="H83" s="127">
        <v>0</v>
      </c>
      <c r="I83" s="21"/>
      <c r="J83" s="21">
        <v>0</v>
      </c>
      <c r="K83" s="21"/>
      <c r="L83" s="34"/>
      <c r="M83" s="2"/>
      <c r="N83" s="135"/>
      <c r="O83" s="131"/>
      <c r="P83" s="130"/>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row>
    <row r="84" spans="1:63" ht="15">
      <c r="A84" s="67">
        <v>18</v>
      </c>
      <c r="C84" s="18" t="s">
        <v>355</v>
      </c>
      <c r="D84" s="21" t="str">
        <f>+D83</f>
        <v>263.i</v>
      </c>
      <c r="E84" s="160">
        <f>20055+57052</f>
        <v>77107</v>
      </c>
      <c r="F84" s="21"/>
      <c r="G84" s="21" t="s">
        <v>162</v>
      </c>
      <c r="H84" s="36">
        <f>+H82</f>
        <v>0.09657098046992214</v>
      </c>
      <c r="I84" s="21"/>
      <c r="J84" s="21">
        <f>+H84*E84</f>
        <v>7446.298591094287</v>
      </c>
      <c r="K84" s="21"/>
      <c r="L84" s="34"/>
      <c r="M84" s="2"/>
      <c r="N84" s="135"/>
      <c r="O84" s="131"/>
      <c r="P84" s="130"/>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row>
    <row r="85" spans="1:63" ht="15" thickBot="1">
      <c r="A85" s="67">
        <v>19</v>
      </c>
      <c r="C85" s="18" t="s">
        <v>180</v>
      </c>
      <c r="D85" s="21"/>
      <c r="E85" s="92">
        <v>0</v>
      </c>
      <c r="F85" s="21"/>
      <c r="G85" s="21" t="s">
        <v>162</v>
      </c>
      <c r="H85" s="36">
        <f>+H82</f>
        <v>0.09657098046992214</v>
      </c>
      <c r="I85" s="21"/>
      <c r="J85" s="61">
        <f>+H85*E85</f>
        <v>0</v>
      </c>
      <c r="K85" s="21"/>
      <c r="L85" s="34"/>
      <c r="M85" s="2"/>
      <c r="N85" s="135"/>
      <c r="O85" s="131"/>
      <c r="P85" s="130"/>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row>
    <row r="86" spans="1:63" ht="15">
      <c r="A86" s="67">
        <v>20</v>
      </c>
      <c r="C86" s="18" t="s">
        <v>181</v>
      </c>
      <c r="D86" s="21"/>
      <c r="E86" s="21">
        <f>SUM(E79:E85)</f>
        <v>35572480</v>
      </c>
      <c r="F86" s="21"/>
      <c r="G86" s="21"/>
      <c r="H86" s="36"/>
      <c r="I86" s="21"/>
      <c r="J86" s="21">
        <f>SUM(J79:J85)</f>
        <v>3401928.7232941003</v>
      </c>
      <c r="K86" s="21"/>
      <c r="L86" s="21"/>
      <c r="M86" s="2"/>
      <c r="N86" s="132"/>
      <c r="O86" s="2"/>
      <c r="P86" s="130"/>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row>
    <row r="87" spans="1:63" ht="15">
      <c r="A87" s="67" t="s">
        <v>182</v>
      </c>
      <c r="C87" s="18"/>
      <c r="D87" s="21"/>
      <c r="E87" s="21"/>
      <c r="F87" s="21"/>
      <c r="G87" s="21"/>
      <c r="H87" s="36"/>
      <c r="I87" s="21"/>
      <c r="J87" s="21"/>
      <c r="K87" s="21"/>
      <c r="L87" s="21"/>
      <c r="M87" s="2"/>
      <c r="N87" s="2"/>
      <c r="O87" s="2"/>
      <c r="P87" s="130"/>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row>
    <row r="88" spans="1:63" ht="15">
      <c r="A88" s="67" t="s">
        <v>105</v>
      </c>
      <c r="C88" s="18" t="s">
        <v>183</v>
      </c>
      <c r="D88" s="21" t="s">
        <v>825</v>
      </c>
      <c r="E88" s="21"/>
      <c r="F88" s="21"/>
      <c r="H88" s="32"/>
      <c r="I88" s="21"/>
      <c r="K88" s="21"/>
      <c r="L88" s="28"/>
      <c r="M88" s="2"/>
      <c r="N88" s="2"/>
      <c r="O88" s="131"/>
      <c r="P88" s="2" t="s">
        <v>105</v>
      </c>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row>
    <row r="89" spans="1:63" ht="15">
      <c r="A89" s="67">
        <v>21</v>
      </c>
      <c r="C89" s="47" t="s">
        <v>258</v>
      </c>
      <c r="D89" s="21"/>
      <c r="E89" s="96">
        <f>IF(E201&gt;0,1-(((1-E202)*(1-E201))/(1-E202*E201*E203)),0)</f>
        <v>0.397775</v>
      </c>
      <c r="F89" s="21"/>
      <c r="H89" s="32"/>
      <c r="I89" s="21"/>
      <c r="K89" s="21"/>
      <c r="L89" s="28"/>
      <c r="M89" s="2"/>
      <c r="N89" s="2"/>
      <c r="O89" s="131"/>
      <c r="P89" s="2"/>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row>
    <row r="90" spans="1:63" ht="15">
      <c r="A90" s="67">
        <v>22</v>
      </c>
      <c r="C90" t="s">
        <v>259</v>
      </c>
      <c r="D90" s="21"/>
      <c r="E90" s="96">
        <f>IF(J168&gt;0,(E89/(1-E89))*(1-J165/J168),0)</f>
        <v>0.553088455188529</v>
      </c>
      <c r="F90" s="21"/>
      <c r="H90" s="32"/>
      <c r="I90" s="21"/>
      <c r="K90" s="21"/>
      <c r="L90" s="28"/>
      <c r="M90" s="2"/>
      <c r="N90" s="2"/>
      <c r="O90" s="131"/>
      <c r="P90" s="2"/>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row>
    <row r="91" spans="1:63" ht="15">
      <c r="A91" s="67"/>
      <c r="C91" s="18" t="s">
        <v>777</v>
      </c>
      <c r="D91" s="21"/>
      <c r="E91" s="21"/>
      <c r="F91" s="21"/>
      <c r="H91" s="32"/>
      <c r="I91" s="21"/>
      <c r="K91" s="21"/>
      <c r="L91" s="28"/>
      <c r="M91" s="2"/>
      <c r="N91" s="2"/>
      <c r="O91" s="131"/>
      <c r="P91" s="2"/>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row>
    <row r="92" spans="1:63" ht="15">
      <c r="A92" s="67"/>
      <c r="C92" s="18" t="s">
        <v>826</v>
      </c>
      <c r="D92" s="21"/>
      <c r="E92" s="21"/>
      <c r="F92" s="21"/>
      <c r="H92" s="32"/>
      <c r="I92" s="21"/>
      <c r="K92" s="21"/>
      <c r="L92" s="28"/>
      <c r="M92" s="2"/>
      <c r="N92" s="2"/>
      <c r="O92" s="131"/>
      <c r="P92" s="2"/>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row>
    <row r="93" spans="1:63" ht="15">
      <c r="A93" s="67">
        <v>23</v>
      </c>
      <c r="C93" s="47" t="s">
        <v>261</v>
      </c>
      <c r="D93" s="167"/>
      <c r="E93" s="97">
        <f>IF(E89&gt;0,1/(1-E89),0)</f>
        <v>1.6605089459919464</v>
      </c>
      <c r="F93" s="21"/>
      <c r="H93" s="32"/>
      <c r="I93" s="21"/>
      <c r="K93" s="21"/>
      <c r="L93" s="28"/>
      <c r="M93" s="2"/>
      <c r="N93" s="2"/>
      <c r="O93" s="131"/>
      <c r="P93" s="2"/>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row>
    <row r="94" spans="1:63" ht="15">
      <c r="A94" s="67">
        <v>24</v>
      </c>
      <c r="C94" s="18" t="s">
        <v>260</v>
      </c>
      <c r="D94" s="21"/>
      <c r="E94" s="160">
        <v>-1855879</v>
      </c>
      <c r="F94" s="21" t="s">
        <v>105</v>
      </c>
      <c r="H94" s="32"/>
      <c r="I94" s="21"/>
      <c r="K94" s="21"/>
      <c r="L94" s="28"/>
      <c r="M94" s="2"/>
      <c r="N94" s="2"/>
      <c r="O94" s="131"/>
      <c r="P94" s="2"/>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row>
    <row r="95" spans="1:63" ht="15">
      <c r="A95" s="67"/>
      <c r="C95" s="18"/>
      <c r="D95" s="21"/>
      <c r="E95" s="21"/>
      <c r="F95" s="21"/>
      <c r="H95" s="32"/>
      <c r="I95" s="21"/>
      <c r="K95" s="21"/>
      <c r="L95" s="28"/>
      <c r="M95" s="2"/>
      <c r="N95" s="2"/>
      <c r="O95" s="131"/>
      <c r="P95" s="2"/>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row>
    <row r="96" spans="1:63" ht="15">
      <c r="A96" s="67">
        <v>25</v>
      </c>
      <c r="C96" s="47" t="s">
        <v>262</v>
      </c>
      <c r="D96" s="66"/>
      <c r="E96" s="21">
        <f>E90*E100</f>
        <v>39690054.966397695</v>
      </c>
      <c r="F96" s="21"/>
      <c r="G96" s="21" t="s">
        <v>145</v>
      </c>
      <c r="H96" s="36"/>
      <c r="I96" s="21"/>
      <c r="J96" s="21">
        <f>E90*J100</f>
        <v>4581549.13752288</v>
      </c>
      <c r="K96" s="21"/>
      <c r="L96" s="31" t="s">
        <v>105</v>
      </c>
      <c r="M96" s="2"/>
      <c r="N96" s="2"/>
      <c r="O96" s="2"/>
      <c r="P96" s="130"/>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row>
    <row r="97" spans="1:63" ht="15" thickBot="1">
      <c r="A97" s="67">
        <v>26</v>
      </c>
      <c r="C97" t="s">
        <v>264</v>
      </c>
      <c r="D97" s="66"/>
      <c r="E97" s="61">
        <f>E93*E94</f>
        <v>-3081703.6821785877</v>
      </c>
      <c r="F97" s="21"/>
      <c r="G97" t="s">
        <v>159</v>
      </c>
      <c r="H97" s="36">
        <f>H34</f>
        <v>0.09815186757173072</v>
      </c>
      <c r="I97" s="21"/>
      <c r="J97" s="61">
        <f>H97*E97</f>
        <v>-302474.9717085077</v>
      </c>
      <c r="K97" s="21"/>
      <c r="L97" s="31"/>
      <c r="M97" s="2"/>
      <c r="N97" s="2"/>
      <c r="O97" s="2"/>
      <c r="P97" s="130"/>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row>
    <row r="98" spans="1:63" ht="15">
      <c r="A98" s="67">
        <v>27</v>
      </c>
      <c r="C98" s="53" t="s">
        <v>246</v>
      </c>
      <c r="D98" t="s">
        <v>265</v>
      </c>
      <c r="E98" s="95">
        <f>+E96+E97</f>
        <v>36608351.28421911</v>
      </c>
      <c r="F98" s="21"/>
      <c r="G98" s="21" t="s">
        <v>105</v>
      </c>
      <c r="H98" s="36" t="s">
        <v>105</v>
      </c>
      <c r="I98" s="21"/>
      <c r="J98" s="95">
        <f>+J96+J97</f>
        <v>4279074.165814373</v>
      </c>
      <c r="K98" s="21"/>
      <c r="L98" s="21"/>
      <c r="M98" s="2"/>
      <c r="N98" s="2"/>
      <c r="O98" s="2"/>
      <c r="P98" s="130"/>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row>
    <row r="99" spans="1:63" ht="15">
      <c r="A99" s="67" t="s">
        <v>105</v>
      </c>
      <c r="D99" s="37"/>
      <c r="E99" s="21"/>
      <c r="F99" s="21"/>
      <c r="G99" s="21"/>
      <c r="H99" s="36"/>
      <c r="I99" s="21"/>
      <c r="J99" s="21"/>
      <c r="K99" s="21"/>
      <c r="L99" s="21"/>
      <c r="M99" s="2"/>
      <c r="N99" s="2"/>
      <c r="O99" s="2"/>
      <c r="P99" s="130"/>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row>
    <row r="100" spans="1:63" ht="15">
      <c r="A100" s="67">
        <v>28</v>
      </c>
      <c r="C100" s="18" t="s">
        <v>184</v>
      </c>
      <c r="D100" s="34"/>
      <c r="E100" s="21">
        <f>+$J168*E48</f>
        <v>71760772.79152158</v>
      </c>
      <c r="F100" s="21"/>
      <c r="G100" s="21" t="s">
        <v>145</v>
      </c>
      <c r="H100" s="32"/>
      <c r="I100" s="21"/>
      <c r="J100" s="21">
        <f>+$J168*J48</f>
        <v>8283573.982684535</v>
      </c>
      <c r="K100" s="21"/>
      <c r="L100" s="28"/>
      <c r="M100" s="2"/>
      <c r="N100" s="2"/>
      <c r="O100" s="131"/>
      <c r="P100" s="2" t="s">
        <v>105</v>
      </c>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row>
    <row r="101" spans="1:63" ht="15">
      <c r="A101" s="67"/>
      <c r="C101" s="53" t="s">
        <v>746</v>
      </c>
      <c r="D101" s="28"/>
      <c r="E101" s="21"/>
      <c r="F101" s="21"/>
      <c r="G101" s="21"/>
      <c r="H101" s="32"/>
      <c r="I101" s="21"/>
      <c r="J101" s="21"/>
      <c r="K101" s="21"/>
      <c r="L101" s="34"/>
      <c r="M101" s="2"/>
      <c r="N101" s="2"/>
      <c r="O101" s="131"/>
      <c r="P101" s="2"/>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row>
    <row r="102" spans="1:63" ht="15">
      <c r="A102" s="67"/>
      <c r="C102" s="53"/>
      <c r="D102" s="28"/>
      <c r="E102" s="21"/>
      <c r="F102" s="21"/>
      <c r="G102" s="21"/>
      <c r="H102" s="32"/>
      <c r="I102" s="21"/>
      <c r="J102" s="21"/>
      <c r="K102" s="21"/>
      <c r="L102" s="34"/>
      <c r="M102" s="2"/>
      <c r="N102" s="2"/>
      <c r="O102" s="131"/>
      <c r="P102" s="2"/>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row>
    <row r="103" spans="1:63" ht="15">
      <c r="A103" s="67">
        <v>29</v>
      </c>
      <c r="C103" s="53" t="s">
        <v>654</v>
      </c>
      <c r="D103" s="28"/>
      <c r="E103" s="55">
        <v>0</v>
      </c>
      <c r="F103" s="21"/>
      <c r="G103" s="55" t="s">
        <v>652</v>
      </c>
      <c r="H103" s="127">
        <v>1</v>
      </c>
      <c r="I103" s="21"/>
      <c r="J103" s="55">
        <f>+H103*E103</f>
        <v>0</v>
      </c>
      <c r="K103" s="21"/>
      <c r="L103" s="34"/>
      <c r="M103" s="2"/>
      <c r="N103" s="2"/>
      <c r="O103" s="131"/>
      <c r="P103" s="2"/>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row>
    <row r="104" spans="1:63" ht="15" thickBot="1">
      <c r="A104" s="67"/>
      <c r="C104" s="18"/>
      <c r="D104" s="28"/>
      <c r="E104" s="61"/>
      <c r="F104" s="21"/>
      <c r="G104" s="21"/>
      <c r="H104" s="32"/>
      <c r="I104" s="21"/>
      <c r="J104" s="61"/>
      <c r="K104" s="21"/>
      <c r="L104" s="34"/>
      <c r="M104" s="2"/>
      <c r="N104" s="2"/>
      <c r="O104" s="131"/>
      <c r="P104" s="2"/>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row>
    <row r="105" spans="1:63" ht="15" thickBot="1">
      <c r="A105" s="67">
        <v>30</v>
      </c>
      <c r="C105" s="18" t="s">
        <v>655</v>
      </c>
      <c r="D105" s="21"/>
      <c r="E105" s="74">
        <f>+E100+E98+E86+E75+E69+E103</f>
        <v>266467599.96574068</v>
      </c>
      <c r="F105" s="21"/>
      <c r="G105" s="21"/>
      <c r="H105" s="21"/>
      <c r="I105" s="21"/>
      <c r="J105" s="74">
        <f>+J100+J98+J86+J75+J69+J103</f>
        <v>67932277.5938306</v>
      </c>
      <c r="K105" s="16"/>
      <c r="L105" s="16"/>
      <c r="M105" s="128"/>
      <c r="N105" s="128"/>
      <c r="O105" s="128"/>
      <c r="P105" s="130"/>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row>
    <row r="106" spans="1:63" ht="15" thickTop="1">
      <c r="A106" s="67"/>
      <c r="C106" s="18"/>
      <c r="D106" s="513" t="str">
        <f>+D1</f>
        <v>Rate Formula Template</v>
      </c>
      <c r="E106" s="516"/>
      <c r="F106" s="513"/>
      <c r="G106" s="28"/>
      <c r="J106" s="172" t="str">
        <f>+J1</f>
        <v> </v>
      </c>
      <c r="K106" s="21"/>
      <c r="L106" s="21"/>
      <c r="M106" s="2"/>
      <c r="N106" s="2"/>
      <c r="O106" s="2"/>
      <c r="P106" s="130"/>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row>
    <row r="107" spans="1:63" ht="15">
      <c r="A107" s="67"/>
      <c r="C107" s="18"/>
      <c r="D107" s="513" t="str">
        <f>+D2</f>
        <v>Utilizing FERC Form 1 Data</v>
      </c>
      <c r="E107" s="516"/>
      <c r="F107" s="513"/>
      <c r="G107" s="28"/>
      <c r="H107" s="28"/>
      <c r="J107" s="172" t="str">
        <f>+J2</f>
        <v>Schedule WES</v>
      </c>
      <c r="K107" s="21"/>
      <c r="L107" s="21"/>
      <c r="M107" s="2"/>
      <c r="N107" s="2"/>
      <c r="O107" s="2"/>
      <c r="P107" s="130"/>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row>
    <row r="108" spans="1:63" ht="15">
      <c r="A108" s="67"/>
      <c r="C108" s="28"/>
      <c r="D108" s="513" t="str">
        <f>+D3</f>
        <v>For the 12 months ended 12/31/05</v>
      </c>
      <c r="E108" s="516"/>
      <c r="F108" s="513"/>
      <c r="G108" s="28"/>
      <c r="H108" s="28"/>
      <c r="I108" s="28"/>
      <c r="J108" s="391" t="s">
        <v>87</v>
      </c>
      <c r="K108" s="21"/>
      <c r="L108" s="21"/>
      <c r="M108" s="2"/>
      <c r="N108" s="2"/>
      <c r="O108" s="2"/>
      <c r="P108" s="130"/>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row>
    <row r="109" spans="1:63" ht="15">
      <c r="A109" s="67"/>
      <c r="C109" s="28"/>
      <c r="D109" s="28"/>
      <c r="E109" s="28"/>
      <c r="F109" s="28"/>
      <c r="G109" s="28"/>
      <c r="H109" s="28"/>
      <c r="I109" s="28"/>
      <c r="K109" s="21"/>
      <c r="L109" s="21"/>
      <c r="M109" s="2"/>
      <c r="N109" s="2"/>
      <c r="O109" s="2"/>
      <c r="P109" s="130"/>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row>
    <row r="110" spans="1:63" ht="15">
      <c r="A110" s="67"/>
      <c r="D110" s="513" t="str">
        <f>+D5</f>
        <v>KANSAS GAS AND ELECTRIC COMPANY</v>
      </c>
      <c r="E110" s="516"/>
      <c r="F110" s="513"/>
      <c r="G110" s="28"/>
      <c r="H110" s="28"/>
      <c r="I110" s="28"/>
      <c r="K110" s="21"/>
      <c r="L110" s="21"/>
      <c r="M110" s="2"/>
      <c r="N110" s="2"/>
      <c r="O110" s="2"/>
      <c r="P110" s="130"/>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row>
    <row r="111" spans="1:63" ht="15">
      <c r="A111" s="67"/>
      <c r="D111" s="513" t="str">
        <f>+D6</f>
        <v>(WES)</v>
      </c>
      <c r="E111" s="516"/>
      <c r="F111" s="513"/>
      <c r="G111" s="18"/>
      <c r="H111" s="18"/>
      <c r="I111" s="18"/>
      <c r="J111" s="18"/>
      <c r="K111" s="18"/>
      <c r="L111" s="18"/>
      <c r="M111" s="130"/>
      <c r="N111" s="130"/>
      <c r="O111" s="130"/>
      <c r="P111" s="130"/>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row>
    <row r="112" spans="1:63" ht="15">
      <c r="A112" s="67"/>
      <c r="D112" s="35"/>
      <c r="E112" s="174"/>
      <c r="F112" s="35"/>
      <c r="G112" s="18"/>
      <c r="H112" s="18"/>
      <c r="I112" s="18"/>
      <c r="J112" s="18"/>
      <c r="K112" s="18"/>
      <c r="L112" s="18"/>
      <c r="M112" s="130"/>
      <c r="N112" s="130"/>
      <c r="O112" s="130"/>
      <c r="P112" s="130"/>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row>
    <row r="113" spans="1:63" ht="15">
      <c r="A113" s="67"/>
      <c r="C113" s="28"/>
      <c r="D113" s="515" t="s">
        <v>336</v>
      </c>
      <c r="E113" s="516"/>
      <c r="F113" s="516"/>
      <c r="G113" s="166"/>
      <c r="H113" s="16"/>
      <c r="I113" s="16"/>
      <c r="J113" s="16"/>
      <c r="K113" s="21"/>
      <c r="L113" s="21"/>
      <c r="M113" s="2"/>
      <c r="N113" s="128"/>
      <c r="O113" s="2"/>
      <c r="P113" s="130"/>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row>
    <row r="114" spans="1:63" ht="15">
      <c r="A114" s="67" t="s">
        <v>106</v>
      </c>
      <c r="C114" s="29"/>
      <c r="D114" s="16"/>
      <c r="E114" s="16"/>
      <c r="F114" s="16"/>
      <c r="G114" s="16"/>
      <c r="H114" s="16"/>
      <c r="I114" s="16"/>
      <c r="J114" s="16"/>
      <c r="K114" s="21"/>
      <c r="L114" s="21"/>
      <c r="M114" s="2"/>
      <c r="N114" s="128"/>
      <c r="O114" s="2"/>
      <c r="P114" s="130"/>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row>
    <row r="115" spans="1:63" ht="15" thickBot="1">
      <c r="A115" s="68" t="s">
        <v>110</v>
      </c>
      <c r="C115" s="109" t="s">
        <v>331</v>
      </c>
      <c r="D115" s="110"/>
      <c r="E115" s="110"/>
      <c r="F115" s="110"/>
      <c r="G115" s="110"/>
      <c r="H115" s="110"/>
      <c r="I115" s="111"/>
      <c r="J115" s="111"/>
      <c r="K115" s="21"/>
      <c r="L115" s="21"/>
      <c r="M115" s="2"/>
      <c r="N115" s="128"/>
      <c r="O115" s="2"/>
      <c r="P115" s="130"/>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row>
    <row r="116" spans="1:63" ht="15">
      <c r="A116" s="67"/>
      <c r="C116" s="109"/>
      <c r="D116" s="110"/>
      <c r="E116" s="110"/>
      <c r="F116" s="110"/>
      <c r="G116" s="110"/>
      <c r="H116" s="110"/>
      <c r="I116" s="110"/>
      <c r="J116" s="110"/>
      <c r="K116" s="21"/>
      <c r="L116" s="21"/>
      <c r="M116" s="2"/>
      <c r="N116" s="128"/>
      <c r="O116" s="2"/>
      <c r="P116" s="130"/>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row>
    <row r="117" spans="1:63" ht="15">
      <c r="A117" s="67">
        <v>1</v>
      </c>
      <c r="C117" s="94" t="s">
        <v>743</v>
      </c>
      <c r="D117" s="110"/>
      <c r="E117" s="55"/>
      <c r="F117" s="55"/>
      <c r="G117" s="55"/>
      <c r="H117" s="55"/>
      <c r="I117" s="55"/>
      <c r="J117" s="91">
        <f>E14</f>
        <v>293802757</v>
      </c>
      <c r="K117" s="21"/>
      <c r="L117" s="21"/>
      <c r="M117" s="2"/>
      <c r="N117" s="128"/>
      <c r="O117" s="2"/>
      <c r="P117" s="130"/>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row>
    <row r="118" spans="1:63" ht="15">
      <c r="A118" s="67">
        <v>2</v>
      </c>
      <c r="C118" s="94" t="s">
        <v>827</v>
      </c>
      <c r="D118" s="112"/>
      <c r="E118" s="112"/>
      <c r="F118" s="112"/>
      <c r="G118" s="112"/>
      <c r="H118" s="112"/>
      <c r="I118" s="112"/>
      <c r="J118" s="91">
        <v>0</v>
      </c>
      <c r="K118" s="21"/>
      <c r="L118" s="21"/>
      <c r="M118" s="2"/>
      <c r="N118" s="128"/>
      <c r="O118" s="2"/>
      <c r="P118" s="130"/>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row>
    <row r="119" spans="1:63" ht="15" thickBot="1">
      <c r="A119" s="67">
        <v>3</v>
      </c>
      <c r="C119" s="113" t="s">
        <v>1</v>
      </c>
      <c r="D119" s="114"/>
      <c r="E119" s="115"/>
      <c r="F119" s="115"/>
      <c r="G119" s="55"/>
      <c r="H119" s="116"/>
      <c r="I119" s="55"/>
      <c r="J119" s="163">
        <v>0</v>
      </c>
      <c r="K119" s="21"/>
      <c r="L119" s="21"/>
      <c r="M119" s="2"/>
      <c r="N119" s="128"/>
      <c r="O119" s="2"/>
      <c r="P119" s="130"/>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row>
    <row r="120" spans="1:63" ht="15">
      <c r="A120" s="67">
        <v>4</v>
      </c>
      <c r="C120" s="94" t="s">
        <v>754</v>
      </c>
      <c r="D120" s="110"/>
      <c r="E120" s="55"/>
      <c r="F120" s="55"/>
      <c r="G120" s="55"/>
      <c r="H120" s="116"/>
      <c r="I120" s="55"/>
      <c r="J120" s="55">
        <f>J117-J118-J119</f>
        <v>293802757</v>
      </c>
      <c r="K120" s="21"/>
      <c r="L120" s="21"/>
      <c r="M120" s="2"/>
      <c r="N120" s="128"/>
      <c r="O120" s="2"/>
      <c r="P120" s="130"/>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row>
    <row r="121" spans="1:63" ht="15">
      <c r="A121" s="67"/>
      <c r="C121" s="112"/>
      <c r="D121" s="110"/>
      <c r="E121" s="55"/>
      <c r="F121" s="55"/>
      <c r="G121" s="55"/>
      <c r="H121" s="116"/>
      <c r="I121" s="55"/>
      <c r="J121" s="111"/>
      <c r="K121" s="21"/>
      <c r="L121" s="21"/>
      <c r="M121" s="2"/>
      <c r="N121" s="128"/>
      <c r="O121" s="2"/>
      <c r="P121" s="130"/>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row>
    <row r="122" spans="1:63" ht="15">
      <c r="A122" s="67">
        <v>5</v>
      </c>
      <c r="C122" s="94" t="s">
        <v>778</v>
      </c>
      <c r="D122" s="117"/>
      <c r="E122" s="118"/>
      <c r="F122" s="118"/>
      <c r="G122" s="118"/>
      <c r="H122" s="119"/>
      <c r="I122" s="55" t="s">
        <v>188</v>
      </c>
      <c r="J122" s="392">
        <f>IF(J117&gt;0,J120/J117,0)</f>
        <v>1</v>
      </c>
      <c r="K122" s="21"/>
      <c r="L122" s="21"/>
      <c r="M122" s="2"/>
      <c r="N122" s="128"/>
      <c r="O122" s="2"/>
      <c r="P122" s="130"/>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row>
    <row r="123" spans="1:63" ht="15">
      <c r="A123" s="67"/>
      <c r="C123" s="111"/>
      <c r="D123" s="111"/>
      <c r="E123" s="111"/>
      <c r="F123" s="111"/>
      <c r="G123" s="111"/>
      <c r="H123" s="111"/>
      <c r="I123" s="111"/>
      <c r="J123" s="111"/>
      <c r="K123" s="21"/>
      <c r="L123" s="21"/>
      <c r="M123" s="2"/>
      <c r="N123" s="128"/>
      <c r="O123" s="2"/>
      <c r="P123" s="130"/>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row>
    <row r="124" spans="1:63" ht="15">
      <c r="A124" s="67"/>
      <c r="C124" s="120"/>
      <c r="D124" s="110"/>
      <c r="E124" s="110"/>
      <c r="F124" s="110"/>
      <c r="G124" s="110"/>
      <c r="H124" s="110"/>
      <c r="I124" s="110"/>
      <c r="J124" s="110"/>
      <c r="K124" s="21"/>
      <c r="L124" s="21"/>
      <c r="M124" s="2"/>
      <c r="N124" s="128"/>
      <c r="O124" s="2"/>
      <c r="P124" s="130"/>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row>
    <row r="125" spans="1:63" ht="15">
      <c r="A125" s="67"/>
      <c r="C125" s="121" t="s">
        <v>185</v>
      </c>
      <c r="D125" s="111"/>
      <c r="E125" s="111"/>
      <c r="F125" s="111"/>
      <c r="G125" s="111"/>
      <c r="H125" s="111"/>
      <c r="I125" s="111"/>
      <c r="J125" s="111"/>
      <c r="K125" s="21"/>
      <c r="L125" s="21"/>
      <c r="M125" s="2"/>
      <c r="N125" s="128"/>
      <c r="O125" s="2"/>
      <c r="P125" s="130"/>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row>
    <row r="126" spans="1:63" ht="15">
      <c r="A126" s="67"/>
      <c r="C126" s="111"/>
      <c r="D126" s="111"/>
      <c r="E126" s="111"/>
      <c r="F126" s="111"/>
      <c r="G126" s="111"/>
      <c r="H126" s="111"/>
      <c r="I126" s="111"/>
      <c r="J126" s="111"/>
      <c r="K126" s="21"/>
      <c r="L126" s="21"/>
      <c r="M126" s="2"/>
      <c r="N126" s="128"/>
      <c r="O126" s="2"/>
      <c r="P126" s="130"/>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row>
    <row r="127" spans="1:63" ht="15">
      <c r="A127" s="67">
        <v>6</v>
      </c>
      <c r="C127" s="112" t="s">
        <v>755</v>
      </c>
      <c r="D127" s="112"/>
      <c r="E127" s="110"/>
      <c r="F127" s="110"/>
      <c r="G127" s="110"/>
      <c r="H127" s="122"/>
      <c r="I127" s="110"/>
      <c r="J127" s="91">
        <f>E61</f>
        <v>44812145.25</v>
      </c>
      <c r="K127" s="21"/>
      <c r="L127" s="21"/>
      <c r="M127" s="2"/>
      <c r="N127" s="2"/>
      <c r="O127" s="2"/>
      <c r="P127" s="130"/>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row>
    <row r="128" spans="1:63" ht="15" thickBot="1">
      <c r="A128" s="67">
        <v>7</v>
      </c>
      <c r="C128" s="113" t="s">
        <v>829</v>
      </c>
      <c r="D128" s="114"/>
      <c r="E128" s="115"/>
      <c r="F128" s="115"/>
      <c r="G128" s="55"/>
      <c r="H128" s="55"/>
      <c r="I128" s="55"/>
      <c r="J128" s="92">
        <v>379233</v>
      </c>
      <c r="K128" s="21"/>
      <c r="L128" s="21"/>
      <c r="M128" s="2"/>
      <c r="N128" s="2"/>
      <c r="O128" s="2"/>
      <c r="P128" s="130"/>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row>
    <row r="129" spans="1:63" ht="15">
      <c r="A129" s="67">
        <v>8</v>
      </c>
      <c r="C129" s="94" t="s">
        <v>186</v>
      </c>
      <c r="D129" s="117"/>
      <c r="E129" s="118"/>
      <c r="F129" s="118"/>
      <c r="G129" s="118"/>
      <c r="H129" s="119"/>
      <c r="I129" s="118"/>
      <c r="J129" s="55">
        <f>+J127-J128</f>
        <v>44432912.25</v>
      </c>
      <c r="K129" s="28"/>
      <c r="L129" s="28"/>
      <c r="M129" s="2"/>
      <c r="N129" s="2"/>
      <c r="O129" s="2"/>
      <c r="P129" s="130"/>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row>
    <row r="130" spans="1:63" ht="15">
      <c r="A130" s="67"/>
      <c r="C130" s="94"/>
      <c r="D130" s="110"/>
      <c r="E130" s="55"/>
      <c r="F130" s="55"/>
      <c r="G130" s="55"/>
      <c r="H130" s="55"/>
      <c r="I130" s="112"/>
      <c r="J130" s="111"/>
      <c r="K130" s="28"/>
      <c r="L130" s="28"/>
      <c r="M130" s="2"/>
      <c r="N130" s="2"/>
      <c r="O130" s="2"/>
      <c r="P130" s="130"/>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row>
    <row r="131" spans="1:63" ht="15">
      <c r="A131" s="67">
        <v>9</v>
      </c>
      <c r="C131" s="94" t="s">
        <v>757</v>
      </c>
      <c r="D131" s="110"/>
      <c r="E131" s="55"/>
      <c r="F131" s="55"/>
      <c r="G131" s="55"/>
      <c r="H131" s="55"/>
      <c r="I131" s="55"/>
      <c r="J131" s="123">
        <f>IF(J127&gt;0,J129/J127,0)</f>
        <v>0.9915372719184873</v>
      </c>
      <c r="K131" s="28"/>
      <c r="L131" s="28"/>
      <c r="M131" s="2"/>
      <c r="N131" s="2"/>
      <c r="O131" s="2"/>
      <c r="P131" s="130"/>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row>
    <row r="132" spans="1:63" ht="15">
      <c r="A132" s="67">
        <v>10</v>
      </c>
      <c r="C132" s="94" t="s">
        <v>758</v>
      </c>
      <c r="D132" s="110"/>
      <c r="E132" s="55"/>
      <c r="F132" s="55"/>
      <c r="G132" s="55"/>
      <c r="H132" s="55"/>
      <c r="I132" s="110" t="s">
        <v>188</v>
      </c>
      <c r="J132" s="124">
        <f>J122</f>
        <v>1</v>
      </c>
      <c r="K132" s="28"/>
      <c r="L132" s="28"/>
      <c r="M132" s="2"/>
      <c r="N132" s="2"/>
      <c r="O132" s="2"/>
      <c r="P132" s="130"/>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row>
    <row r="133" spans="1:63" ht="15">
      <c r="A133" s="67">
        <v>11</v>
      </c>
      <c r="C133" s="94" t="s">
        <v>28</v>
      </c>
      <c r="D133" s="110"/>
      <c r="E133" s="110"/>
      <c r="F133" s="110"/>
      <c r="G133" s="110"/>
      <c r="H133" s="110"/>
      <c r="I133" s="110" t="s">
        <v>187</v>
      </c>
      <c r="J133" s="393">
        <f>+J132*J131</f>
        <v>0.9915372719184873</v>
      </c>
      <c r="K133" s="28"/>
      <c r="L133" s="28"/>
      <c r="M133" s="2"/>
      <c r="N133" s="2"/>
      <c r="O133" s="2"/>
      <c r="P133" s="130"/>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row>
    <row r="134" spans="1:63" ht="15">
      <c r="A134" s="67"/>
      <c r="K134" s="28"/>
      <c r="L134" s="28"/>
      <c r="M134" s="2"/>
      <c r="N134" s="2"/>
      <c r="O134" s="2"/>
      <c r="P134" s="130"/>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row>
    <row r="135" spans="1:63" ht="15">
      <c r="A135" s="67"/>
      <c r="C135" s="28"/>
      <c r="D135" s="16"/>
      <c r="E135" s="21"/>
      <c r="F135" s="21"/>
      <c r="G135" s="21"/>
      <c r="H135" s="22"/>
      <c r="I135" s="21"/>
      <c r="K135" s="28"/>
      <c r="L135" s="28"/>
      <c r="M135" s="2"/>
      <c r="N135" s="2"/>
      <c r="O135" s="2"/>
      <c r="P135" s="130"/>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row>
    <row r="136" spans="1:63" ht="15">
      <c r="A136" s="67" t="s">
        <v>105</v>
      </c>
      <c r="C136" s="18" t="s">
        <v>189</v>
      </c>
      <c r="D136" s="21"/>
      <c r="E136" s="167"/>
      <c r="F136" s="21"/>
      <c r="G136" s="21"/>
      <c r="H136" s="21"/>
      <c r="I136" s="21"/>
      <c r="J136" s="21"/>
      <c r="K136" s="21"/>
      <c r="L136" s="21"/>
      <c r="M136" s="2"/>
      <c r="N136" s="2"/>
      <c r="O136" s="2"/>
      <c r="P136" s="130"/>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row>
    <row r="137" spans="1:63" ht="15" thickBot="1">
      <c r="A137" s="67" t="s">
        <v>105</v>
      </c>
      <c r="C137" s="18"/>
      <c r="D137" s="61" t="s">
        <v>190</v>
      </c>
      <c r="E137" s="62" t="s">
        <v>191</v>
      </c>
      <c r="F137" s="62" t="s">
        <v>115</v>
      </c>
      <c r="G137" s="21"/>
      <c r="H137" s="62" t="s">
        <v>192</v>
      </c>
      <c r="I137" s="21"/>
      <c r="J137" s="21"/>
      <c r="K137" s="21"/>
      <c r="L137" s="21"/>
      <c r="M137" s="2"/>
      <c r="N137" s="2"/>
      <c r="O137" s="2"/>
      <c r="P137" s="130"/>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row>
    <row r="138" spans="1:63" ht="15">
      <c r="A138" s="67">
        <v>12</v>
      </c>
      <c r="C138" s="18" t="s">
        <v>144</v>
      </c>
      <c r="D138" s="21" t="s">
        <v>193</v>
      </c>
      <c r="E138" s="160">
        <f>8789413</f>
        <v>8789413</v>
      </c>
      <c r="F138" s="30">
        <v>0</v>
      </c>
      <c r="G138" s="39"/>
      <c r="H138" s="21">
        <f>E138*F138</f>
        <v>0</v>
      </c>
      <c r="I138" s="21"/>
      <c r="J138" s="21"/>
      <c r="K138" s="21"/>
      <c r="L138" s="21"/>
      <c r="M138" s="2"/>
      <c r="N138" s="2"/>
      <c r="O138" s="2"/>
      <c r="P138" s="130"/>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row>
    <row r="139" spans="1:63" ht="15">
      <c r="A139" s="67">
        <v>13</v>
      </c>
      <c r="C139" s="18" t="s">
        <v>146</v>
      </c>
      <c r="D139" s="21" t="s">
        <v>194</v>
      </c>
      <c r="E139" s="160">
        <v>2326693</v>
      </c>
      <c r="F139" s="30">
        <f>+J122</f>
        <v>1</v>
      </c>
      <c r="G139" s="39"/>
      <c r="H139" s="21">
        <f>E139*F139</f>
        <v>2326693</v>
      </c>
      <c r="I139" s="21"/>
      <c r="J139" s="21"/>
      <c r="K139" s="21"/>
      <c r="L139" s="21"/>
      <c r="M139" s="128"/>
      <c r="N139" s="2"/>
      <c r="O139" s="2"/>
      <c r="P139" s="130"/>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row>
    <row r="140" spans="1:63" ht="15">
      <c r="A140" s="67">
        <v>14</v>
      </c>
      <c r="C140" s="18" t="s">
        <v>147</v>
      </c>
      <c r="D140" s="21" t="s">
        <v>195</v>
      </c>
      <c r="E140" s="160">
        <v>10161021</v>
      </c>
      <c r="F140" s="30">
        <v>0</v>
      </c>
      <c r="G140" s="39"/>
      <c r="H140" s="21">
        <f>E140*F140</f>
        <v>0</v>
      </c>
      <c r="I140" s="21"/>
      <c r="J140" s="63" t="s">
        <v>196</v>
      </c>
      <c r="K140" s="21"/>
      <c r="L140" s="21"/>
      <c r="M140" s="2"/>
      <c r="N140" s="2"/>
      <c r="O140" s="2"/>
      <c r="P140" s="130"/>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129"/>
      <c r="BI140" s="129"/>
      <c r="BJ140" s="129"/>
      <c r="BK140" s="129"/>
    </row>
    <row r="141" spans="1:63" ht="15" thickBot="1">
      <c r="A141" s="67">
        <v>15</v>
      </c>
      <c r="C141" s="18" t="s">
        <v>197</v>
      </c>
      <c r="D141" s="21" t="s">
        <v>198</v>
      </c>
      <c r="E141" s="163">
        <f>4058718+546761+4126</f>
        <v>4609605</v>
      </c>
      <c r="F141" s="30">
        <v>0</v>
      </c>
      <c r="G141" s="39"/>
      <c r="H141" s="61">
        <f>E141*F141</f>
        <v>0</v>
      </c>
      <c r="I141" s="21"/>
      <c r="J141" s="68" t="s">
        <v>199</v>
      </c>
      <c r="K141" s="21"/>
      <c r="L141" s="21"/>
      <c r="M141" s="2"/>
      <c r="N141" s="2"/>
      <c r="O141" s="2"/>
      <c r="P141" s="130"/>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row>
    <row r="142" spans="1:63" ht="15">
      <c r="A142" s="67">
        <v>16</v>
      </c>
      <c r="C142" s="18" t="s">
        <v>272</v>
      </c>
      <c r="D142" s="21"/>
      <c r="E142" s="21">
        <f>SUM(E138:E141)</f>
        <v>25886732</v>
      </c>
      <c r="F142" s="21"/>
      <c r="G142" s="21"/>
      <c r="H142" s="21">
        <f>SUM(H138:H141)</f>
        <v>2326693</v>
      </c>
      <c r="I142" s="20" t="s">
        <v>200</v>
      </c>
      <c r="J142" s="30">
        <f>IF(H142&gt;0,H142/E142,0)</f>
        <v>0.08987974998157357</v>
      </c>
      <c r="K142" s="22" t="s">
        <v>200</v>
      </c>
      <c r="L142" s="22" t="s">
        <v>266</v>
      </c>
      <c r="M142" s="2"/>
      <c r="N142" s="2"/>
      <c r="O142" s="2"/>
      <c r="P142" s="130"/>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row>
    <row r="143" spans="1:63" ht="15">
      <c r="A143" s="67" t="s">
        <v>105</v>
      </c>
      <c r="C143" s="18" t="s">
        <v>105</v>
      </c>
      <c r="D143" s="21" t="s">
        <v>105</v>
      </c>
      <c r="F143" s="21"/>
      <c r="G143" s="21"/>
      <c r="K143" s="28"/>
      <c r="L143" s="21"/>
      <c r="M143" s="2"/>
      <c r="N143" s="2"/>
      <c r="O143" s="2"/>
      <c r="P143" s="130"/>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row>
    <row r="144" spans="1:63" ht="15">
      <c r="A144" s="67"/>
      <c r="C144" s="18"/>
      <c r="D144" s="21"/>
      <c r="E144" s="21"/>
      <c r="F144" s="21"/>
      <c r="G144" s="21"/>
      <c r="H144" s="21"/>
      <c r="I144" s="21"/>
      <c r="J144" s="21"/>
      <c r="K144" s="21"/>
      <c r="L144" s="21"/>
      <c r="M144" s="2" t="s">
        <v>105</v>
      </c>
      <c r="N144" s="2"/>
      <c r="O144" s="2"/>
      <c r="P144" s="130"/>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row>
    <row r="145" spans="1:63" ht="15">
      <c r="A145" s="67"/>
      <c r="C145" s="18" t="s">
        <v>830</v>
      </c>
      <c r="D145" s="21"/>
      <c r="E145" s="167"/>
      <c r="F145" s="21"/>
      <c r="G145" s="21"/>
      <c r="H145" s="21"/>
      <c r="I145" s="21"/>
      <c r="J145" s="21"/>
      <c r="K145" s="21"/>
      <c r="L145" s="21"/>
      <c r="M145" s="2"/>
      <c r="N145" s="2"/>
      <c r="O145" s="2"/>
      <c r="P145" s="130"/>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row>
    <row r="146" spans="1:63" ht="15">
      <c r="A146" s="67"/>
      <c r="C146" s="18"/>
      <c r="D146" s="21"/>
      <c r="E146" s="22" t="s">
        <v>191</v>
      </c>
      <c r="F146" s="21"/>
      <c r="G146" s="21"/>
      <c r="H146" s="22" t="s">
        <v>201</v>
      </c>
      <c r="I146" s="32" t="s">
        <v>105</v>
      </c>
      <c r="J146" s="34" t="str">
        <f>+J140</f>
        <v>W&amp;S Allocator</v>
      </c>
      <c r="K146" s="28"/>
      <c r="L146" s="28"/>
      <c r="M146" s="2"/>
      <c r="N146" s="2"/>
      <c r="O146" s="2"/>
      <c r="P146" s="130"/>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c r="AY146" s="129"/>
      <c r="AZ146" s="129"/>
      <c r="BA146" s="129"/>
      <c r="BB146" s="129"/>
      <c r="BC146" s="129"/>
      <c r="BD146" s="129"/>
      <c r="BE146" s="129"/>
      <c r="BF146" s="129"/>
      <c r="BG146" s="129"/>
      <c r="BH146" s="129"/>
      <c r="BI146" s="129"/>
      <c r="BJ146" s="129"/>
      <c r="BK146" s="129"/>
    </row>
    <row r="147" spans="1:63" ht="15">
      <c r="A147" s="67">
        <v>17</v>
      </c>
      <c r="C147" s="18" t="s">
        <v>202</v>
      </c>
      <c r="D147" s="21" t="s">
        <v>203</v>
      </c>
      <c r="E147" s="160">
        <v>3136505602</v>
      </c>
      <c r="F147" s="21"/>
      <c r="G147" s="28"/>
      <c r="H147" s="67" t="s">
        <v>204</v>
      </c>
      <c r="I147" s="52"/>
      <c r="J147" s="67" t="s">
        <v>205</v>
      </c>
      <c r="K147" s="21"/>
      <c r="L147" s="20" t="s">
        <v>206</v>
      </c>
      <c r="M147" s="2"/>
      <c r="N147" s="2"/>
      <c r="O147" s="2"/>
      <c r="P147" s="130"/>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row>
    <row r="148" spans="1:63" ht="15">
      <c r="A148" s="67">
        <v>18</v>
      </c>
      <c r="C148" s="18" t="s">
        <v>207</v>
      </c>
      <c r="D148" s="21" t="s">
        <v>208</v>
      </c>
      <c r="E148" s="91">
        <v>0</v>
      </c>
      <c r="F148" s="21"/>
      <c r="G148" s="28"/>
      <c r="H148" s="36">
        <f>IF(E150&gt;0,E147/E150,0)</f>
        <v>1</v>
      </c>
      <c r="I148" s="22" t="s">
        <v>209</v>
      </c>
      <c r="J148" s="36">
        <f>J142</f>
        <v>0.08987974998157357</v>
      </c>
      <c r="K148" s="32" t="s">
        <v>200</v>
      </c>
      <c r="L148" s="40">
        <f>J148*H148</f>
        <v>0.08987974998157357</v>
      </c>
      <c r="M148" s="2"/>
      <c r="N148" s="2"/>
      <c r="O148" s="2"/>
      <c r="P148" s="130"/>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c r="BJ148" s="129"/>
      <c r="BK148" s="129"/>
    </row>
    <row r="149" spans="1:63" ht="15" thickBot="1">
      <c r="A149" s="67">
        <v>19</v>
      </c>
      <c r="C149" s="78" t="s">
        <v>210</v>
      </c>
      <c r="D149" s="61" t="s">
        <v>211</v>
      </c>
      <c r="E149" s="92">
        <v>0</v>
      </c>
      <c r="F149" s="61"/>
      <c r="G149" s="21"/>
      <c r="H149" s="21" t="s">
        <v>105</v>
      </c>
      <c r="I149" s="21"/>
      <c r="J149" s="21"/>
      <c r="K149" s="21"/>
      <c r="L149" s="21"/>
      <c r="M149" s="2"/>
      <c r="N149" s="2"/>
      <c r="O149" s="2"/>
      <c r="P149" s="130"/>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row>
    <row r="150" spans="1:63" ht="15">
      <c r="A150" s="67">
        <v>20</v>
      </c>
      <c r="C150" s="18" t="s">
        <v>247</v>
      </c>
      <c r="D150" s="21"/>
      <c r="E150" s="21">
        <f>E147+E148+E149</f>
        <v>3136505602</v>
      </c>
      <c r="F150" s="21"/>
      <c r="G150" s="21"/>
      <c r="H150" s="21"/>
      <c r="I150" s="21"/>
      <c r="J150" s="21"/>
      <c r="K150" s="21"/>
      <c r="L150" s="21"/>
      <c r="M150" s="2"/>
      <c r="N150" s="2"/>
      <c r="O150" s="2"/>
      <c r="P150" s="130"/>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row>
    <row r="151" spans="1:63" ht="15">
      <c r="A151" s="67"/>
      <c r="C151" s="18" t="s">
        <v>105</v>
      </c>
      <c r="D151" s="21"/>
      <c r="F151" s="21"/>
      <c r="G151" s="21"/>
      <c r="H151" s="21"/>
      <c r="I151" s="21"/>
      <c r="J151" s="21" t="s">
        <v>105</v>
      </c>
      <c r="K151" s="21" t="s">
        <v>105</v>
      </c>
      <c r="L151" s="21"/>
      <c r="M151" s="2"/>
      <c r="N151" s="2"/>
      <c r="O151" s="2"/>
      <c r="P151" s="130"/>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row>
    <row r="152" spans="1:63" ht="15">
      <c r="A152" s="67"/>
      <c r="C152" s="18"/>
      <c r="D152" s="21"/>
      <c r="F152" s="21"/>
      <c r="G152" s="21"/>
      <c r="H152" s="21"/>
      <c r="I152" s="21"/>
      <c r="J152" s="21"/>
      <c r="K152" s="21"/>
      <c r="L152" s="21"/>
      <c r="M152" s="2"/>
      <c r="N152" s="2"/>
      <c r="O152" s="2"/>
      <c r="P152" s="130"/>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129"/>
      <c r="AZ152" s="129"/>
      <c r="BA152" s="129"/>
      <c r="BB152" s="129"/>
      <c r="BC152" s="129"/>
      <c r="BD152" s="129"/>
      <c r="BE152" s="129"/>
      <c r="BF152" s="129"/>
      <c r="BG152" s="129"/>
      <c r="BH152" s="129"/>
      <c r="BI152" s="129"/>
      <c r="BJ152" s="129"/>
      <c r="BK152" s="129"/>
    </row>
    <row r="153" spans="1:63" ht="15.75" thickBot="1">
      <c r="A153" s="67"/>
      <c r="B153" s="3"/>
      <c r="C153" s="48" t="s">
        <v>212</v>
      </c>
      <c r="D153" s="21"/>
      <c r="E153" s="167"/>
      <c r="F153" s="21"/>
      <c r="G153" s="21"/>
      <c r="H153" s="21"/>
      <c r="I153" s="21"/>
      <c r="J153" s="62" t="s">
        <v>191</v>
      </c>
      <c r="K153" s="21"/>
      <c r="L153" s="21"/>
      <c r="M153" s="2"/>
      <c r="N153" s="2"/>
      <c r="O153" s="2"/>
      <c r="P153" s="130"/>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row>
    <row r="154" spans="1:63" ht="15">
      <c r="A154" s="67">
        <v>21</v>
      </c>
      <c r="B154" s="3"/>
      <c r="C154" s="3"/>
      <c r="D154" s="21" t="s">
        <v>369</v>
      </c>
      <c r="E154" s="21"/>
      <c r="F154" s="21"/>
      <c r="G154" s="21"/>
      <c r="H154" s="21"/>
      <c r="I154" s="21"/>
      <c r="J154" s="165">
        <f>22278326+621078+838618</f>
        <v>23738022</v>
      </c>
      <c r="K154" s="21"/>
      <c r="L154" s="21"/>
      <c r="M154" s="2"/>
      <c r="N154" s="2"/>
      <c r="O154" s="2"/>
      <c r="P154" s="130"/>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c r="AY154" s="129"/>
      <c r="AZ154" s="129"/>
      <c r="BA154" s="129"/>
      <c r="BB154" s="129"/>
      <c r="BC154" s="129"/>
      <c r="BD154" s="129"/>
      <c r="BE154" s="129"/>
      <c r="BF154" s="129"/>
      <c r="BG154" s="129"/>
      <c r="BH154" s="129"/>
      <c r="BI154" s="129"/>
      <c r="BJ154" s="129"/>
      <c r="BK154" s="129"/>
    </row>
    <row r="155" spans="1:63" ht="15">
      <c r="A155" s="67"/>
      <c r="C155" s="18"/>
      <c r="D155" s="21"/>
      <c r="E155" s="21"/>
      <c r="F155" s="21"/>
      <c r="G155" s="21"/>
      <c r="H155" s="21"/>
      <c r="I155" s="21"/>
      <c r="J155" s="21"/>
      <c r="K155" s="21"/>
      <c r="L155" s="21"/>
      <c r="M155" s="2"/>
      <c r="N155" s="2"/>
      <c r="O155" s="2"/>
      <c r="P155" s="130"/>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row>
    <row r="156" spans="1:63" ht="15">
      <c r="A156" s="67">
        <v>22</v>
      </c>
      <c r="B156" s="3"/>
      <c r="C156" s="170"/>
      <c r="D156" s="21" t="s">
        <v>213</v>
      </c>
      <c r="E156" s="21"/>
      <c r="F156" s="21"/>
      <c r="G156" s="21"/>
      <c r="H156" s="21"/>
      <c r="I156" s="55"/>
      <c r="J156" s="93">
        <v>0</v>
      </c>
      <c r="K156" s="21"/>
      <c r="L156" s="21"/>
      <c r="M156" s="2"/>
      <c r="N156" s="2"/>
      <c r="O156" s="2"/>
      <c r="P156" s="130"/>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row>
    <row r="157" spans="1:63" ht="15">
      <c r="A157" s="67"/>
      <c r="B157" s="3"/>
      <c r="C157" s="48"/>
      <c r="D157" s="21"/>
      <c r="E157" s="21"/>
      <c r="F157" s="21"/>
      <c r="G157" s="21"/>
      <c r="H157" s="21"/>
      <c r="I157" s="21"/>
      <c r="J157" s="21"/>
      <c r="K157" s="21"/>
      <c r="L157" s="21"/>
      <c r="M157" s="2"/>
      <c r="N157" s="2"/>
      <c r="O157" s="2"/>
      <c r="P157" s="130"/>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row>
    <row r="158" spans="1:63" ht="15">
      <c r="A158" s="67"/>
      <c r="B158" s="3"/>
      <c r="C158" s="48" t="s">
        <v>219</v>
      </c>
      <c r="D158" s="21"/>
      <c r="E158" s="167"/>
      <c r="F158" s="21"/>
      <c r="G158" s="21"/>
      <c r="H158" s="21"/>
      <c r="I158" s="21"/>
      <c r="J158" s="21"/>
      <c r="K158" s="21"/>
      <c r="L158" s="21"/>
      <c r="M158" s="2"/>
      <c r="N158" s="2"/>
      <c r="O158" s="2"/>
      <c r="P158" s="130"/>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row>
    <row r="159" spans="1:63" ht="15">
      <c r="A159" s="67">
        <v>23</v>
      </c>
      <c r="B159" s="3"/>
      <c r="C159" s="48"/>
      <c r="D159" s="21" t="s">
        <v>370</v>
      </c>
      <c r="E159" s="3"/>
      <c r="F159" s="21"/>
      <c r="G159" s="21"/>
      <c r="H159" s="21"/>
      <c r="I159" s="21"/>
      <c r="J159" s="160">
        <v>1131691968</v>
      </c>
      <c r="K159" s="21"/>
      <c r="L159" s="21"/>
      <c r="M159" s="2"/>
      <c r="N159" s="2"/>
      <c r="O159" s="2"/>
      <c r="P159" s="130"/>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c r="AP159" s="129"/>
      <c r="AQ159" s="129"/>
      <c r="AR159" s="129"/>
      <c r="AS159" s="129"/>
      <c r="AT159" s="129"/>
      <c r="AU159" s="129"/>
      <c r="AV159" s="129"/>
      <c r="AW159" s="129"/>
      <c r="AX159" s="129"/>
      <c r="AY159" s="129"/>
      <c r="AZ159" s="129"/>
      <c r="BA159" s="129"/>
      <c r="BB159" s="129"/>
      <c r="BC159" s="129"/>
      <c r="BD159" s="129"/>
      <c r="BE159" s="129"/>
      <c r="BF159" s="129"/>
      <c r="BG159" s="129"/>
      <c r="BH159" s="129"/>
      <c r="BI159" s="129"/>
      <c r="BJ159" s="129"/>
      <c r="BK159" s="129"/>
    </row>
    <row r="160" spans="1:63" ht="15">
      <c r="A160" s="67">
        <v>24</v>
      </c>
      <c r="B160" s="3"/>
      <c r="C160" s="48"/>
      <c r="D160" s="21" t="s">
        <v>274</v>
      </c>
      <c r="E160" s="21"/>
      <c r="F160" s="21"/>
      <c r="G160" s="21"/>
      <c r="H160" s="21"/>
      <c r="I160" s="21"/>
      <c r="J160" s="99">
        <f>-E166</f>
        <v>0</v>
      </c>
      <c r="K160" s="21"/>
      <c r="L160" s="21"/>
      <c r="M160" s="2"/>
      <c r="N160" s="2"/>
      <c r="O160" s="2"/>
      <c r="P160" s="130"/>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129"/>
      <c r="BI160" s="129"/>
      <c r="BJ160" s="129"/>
      <c r="BK160" s="129"/>
    </row>
    <row r="161" spans="1:63" ht="15" thickBot="1">
      <c r="A161" s="67">
        <v>25</v>
      </c>
      <c r="B161" s="3"/>
      <c r="C161" s="48"/>
      <c r="D161" s="55" t="s">
        <v>779</v>
      </c>
      <c r="E161" s="55"/>
      <c r="F161" s="55"/>
      <c r="G161" s="55"/>
      <c r="H161" s="55"/>
      <c r="I161" s="21"/>
      <c r="J161" s="92">
        <v>0</v>
      </c>
      <c r="K161" s="21"/>
      <c r="L161" s="21"/>
      <c r="M161" s="2"/>
      <c r="N161" s="2"/>
      <c r="O161" s="2"/>
      <c r="P161" s="130"/>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row>
    <row r="162" spans="1:63" ht="15">
      <c r="A162" s="67">
        <v>26</v>
      </c>
      <c r="B162" s="3"/>
      <c r="C162" s="3"/>
      <c r="D162" s="21" t="s">
        <v>220</v>
      </c>
      <c r="E162" s="3" t="s">
        <v>221</v>
      </c>
      <c r="F162" s="3"/>
      <c r="G162" s="3"/>
      <c r="H162" s="3"/>
      <c r="I162" s="3"/>
      <c r="J162" s="21">
        <f>+J159+J160+J161</f>
        <v>1131691968</v>
      </c>
      <c r="K162" s="21"/>
      <c r="L162" s="21"/>
      <c r="M162" s="2"/>
      <c r="N162" s="2"/>
      <c r="O162" s="2"/>
      <c r="P162" s="130"/>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row>
    <row r="163" spans="1:63" ht="15">
      <c r="A163" s="67"/>
      <c r="C163" s="18"/>
      <c r="D163" s="21"/>
      <c r="E163" s="21"/>
      <c r="F163" s="21"/>
      <c r="G163" s="21"/>
      <c r="H163" s="22" t="s">
        <v>222</v>
      </c>
      <c r="I163" s="21"/>
      <c r="J163" s="21"/>
      <c r="K163" s="21"/>
      <c r="L163" s="21"/>
      <c r="M163" s="2"/>
      <c r="N163" s="2"/>
      <c r="O163" s="2"/>
      <c r="P163" s="130"/>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row>
    <row r="164" spans="1:63" ht="15.75" thickBot="1">
      <c r="A164" s="67"/>
      <c r="C164" s="18"/>
      <c r="D164" s="167"/>
      <c r="E164" s="58" t="s">
        <v>191</v>
      </c>
      <c r="F164" s="58" t="s">
        <v>223</v>
      </c>
      <c r="G164" s="21"/>
      <c r="H164" s="58" t="s">
        <v>831</v>
      </c>
      <c r="I164" s="21"/>
      <c r="J164" s="58" t="s">
        <v>224</v>
      </c>
      <c r="K164" s="21"/>
      <c r="L164" s="21"/>
      <c r="M164" s="2"/>
      <c r="N164" s="2"/>
      <c r="O164" s="2"/>
      <c r="P164" s="130"/>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row>
    <row r="165" spans="1:63" ht="15">
      <c r="A165" s="67">
        <v>27</v>
      </c>
      <c r="C165" s="48" t="s">
        <v>371</v>
      </c>
      <c r="E165" s="160">
        <f>487427500+823971827</f>
        <v>1311399327</v>
      </c>
      <c r="F165" s="79">
        <f>IF($E$168&gt;0,E165/$E$168,0)</f>
        <v>0.5367786826811971</v>
      </c>
      <c r="G165" s="40"/>
      <c r="H165" s="40">
        <f>IF(E165&gt;0,J154/E165,0)</f>
        <v>0.01810129188818777</v>
      </c>
      <c r="J165" s="40">
        <f>H165*F165</f>
        <v>0.009716387614569269</v>
      </c>
      <c r="K165" s="41" t="s">
        <v>225</v>
      </c>
      <c r="M165" s="2"/>
      <c r="N165" s="2"/>
      <c r="O165" s="2"/>
      <c r="P165" s="130"/>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c r="AU165" s="129"/>
      <c r="AV165" s="129"/>
      <c r="AW165" s="129"/>
      <c r="AX165" s="129"/>
      <c r="AY165" s="129"/>
      <c r="AZ165" s="129"/>
      <c r="BA165" s="129"/>
      <c r="BB165" s="129"/>
      <c r="BC165" s="129"/>
      <c r="BD165" s="129"/>
      <c r="BE165" s="129"/>
      <c r="BF165" s="129"/>
      <c r="BG165" s="129"/>
      <c r="BH165" s="129"/>
      <c r="BI165" s="129"/>
      <c r="BJ165" s="129"/>
      <c r="BK165" s="129"/>
    </row>
    <row r="166" spans="1:63" ht="15">
      <c r="A166" s="67">
        <v>28</v>
      </c>
      <c r="C166" s="48" t="s">
        <v>372</v>
      </c>
      <c r="E166" s="91">
        <v>0</v>
      </c>
      <c r="F166" s="79">
        <f>IF($E$168&gt;0,E166/$E$168,0)</f>
        <v>0</v>
      </c>
      <c r="G166" s="40"/>
      <c r="H166" s="40">
        <f>IF(E166&gt;0,J156/E166,0)</f>
        <v>0</v>
      </c>
      <c r="J166" s="40">
        <f>H166*F166</f>
        <v>0</v>
      </c>
      <c r="K166" s="21"/>
      <c r="M166" s="2"/>
      <c r="N166" s="2"/>
      <c r="O166" s="2"/>
      <c r="P166" s="130"/>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29"/>
      <c r="AY166" s="129"/>
      <c r="AZ166" s="129"/>
      <c r="BA166" s="129"/>
      <c r="BB166" s="129"/>
      <c r="BC166" s="129"/>
      <c r="BD166" s="129"/>
      <c r="BE166" s="129"/>
      <c r="BF166" s="129"/>
      <c r="BG166" s="129"/>
      <c r="BH166" s="129"/>
      <c r="BI166" s="129"/>
      <c r="BJ166" s="129"/>
      <c r="BK166" s="129"/>
    </row>
    <row r="167" spans="1:63" ht="15" thickBot="1">
      <c r="A167" s="67">
        <v>29</v>
      </c>
      <c r="C167" s="48" t="s">
        <v>226</v>
      </c>
      <c r="E167" s="61">
        <f>J162</f>
        <v>1131691968</v>
      </c>
      <c r="F167" s="79">
        <f>IF($E$168&gt;0,E167/$E$168,0)</f>
        <v>0.46322131731880284</v>
      </c>
      <c r="G167" s="40"/>
      <c r="H167" s="161">
        <f>0.108</f>
        <v>0.108</v>
      </c>
      <c r="J167" s="98">
        <f>H167*F167</f>
        <v>0.050027902270430705</v>
      </c>
      <c r="K167" s="21"/>
      <c r="M167" s="2"/>
      <c r="N167" s="2"/>
      <c r="O167" s="2"/>
      <c r="P167" s="130"/>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row>
    <row r="168" spans="1:63" ht="15">
      <c r="A168" s="67">
        <v>30</v>
      </c>
      <c r="C168" s="18" t="s">
        <v>270</v>
      </c>
      <c r="E168" s="21">
        <f>E167+E166+E165</f>
        <v>2443091295</v>
      </c>
      <c r="F168" s="21" t="s">
        <v>105</v>
      </c>
      <c r="G168" s="21"/>
      <c r="H168" s="21"/>
      <c r="I168" s="21"/>
      <c r="J168" s="40">
        <f>SUM(J165:J167)</f>
        <v>0.059744289884999975</v>
      </c>
      <c r="K168" s="41" t="s">
        <v>227</v>
      </c>
      <c r="M168" s="2"/>
      <c r="N168" s="2"/>
      <c r="O168" s="2"/>
      <c r="P168" s="130"/>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row>
    <row r="169" spans="1:63" ht="15">
      <c r="A169" s="67"/>
      <c r="B169" s="3"/>
      <c r="C169" s="57"/>
      <c r="D169" s="512" t="str">
        <f>+D1</f>
        <v>Rate Formula Template</v>
      </c>
      <c r="E169" s="516"/>
      <c r="F169" s="516"/>
      <c r="G169" s="21"/>
      <c r="J169" s="172" t="str">
        <f>+J1</f>
        <v> </v>
      </c>
      <c r="K169" s="59"/>
      <c r="L169" s="60"/>
      <c r="M169" s="3"/>
      <c r="N169" s="4"/>
      <c r="O169" s="128"/>
      <c r="P169" s="130"/>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row>
    <row r="170" spans="1:63" ht="15">
      <c r="A170" s="67"/>
      <c r="B170" s="3"/>
      <c r="C170" s="57"/>
      <c r="D170" s="512" t="str">
        <f>+D2</f>
        <v>Utilizing FERC Form 1 Data</v>
      </c>
      <c r="E170" s="516"/>
      <c r="F170" s="516"/>
      <c r="G170" s="21"/>
      <c r="H170" s="21"/>
      <c r="J170" s="172" t="str">
        <f>+J2</f>
        <v>Schedule WES</v>
      </c>
      <c r="K170" s="59"/>
      <c r="L170" s="60"/>
      <c r="M170" s="3"/>
      <c r="N170" s="4"/>
      <c r="O170" s="128"/>
      <c r="P170" s="130"/>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129"/>
      <c r="BI170" s="129"/>
      <c r="BJ170" s="129"/>
      <c r="BK170" s="129"/>
    </row>
    <row r="171" spans="1:63" ht="15">
      <c r="A171" s="67"/>
      <c r="B171" s="3"/>
      <c r="C171" s="57"/>
      <c r="D171" s="512" t="str">
        <f>+D3</f>
        <v>For the 12 months ended 12/31/05</v>
      </c>
      <c r="E171" s="516"/>
      <c r="F171" s="516"/>
      <c r="G171" s="21"/>
      <c r="H171" s="21"/>
      <c r="I171" s="80"/>
      <c r="J171" s="391" t="s">
        <v>88</v>
      </c>
      <c r="K171" s="59"/>
      <c r="L171" s="60"/>
      <c r="M171" s="3"/>
      <c r="N171" s="4"/>
      <c r="O171" s="128"/>
      <c r="P171" s="128"/>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row>
    <row r="172" spans="1:63" ht="15">
      <c r="A172" s="67"/>
      <c r="B172" s="3"/>
      <c r="C172" s="57"/>
      <c r="D172" s="50"/>
      <c r="G172" s="21"/>
      <c r="H172" s="21"/>
      <c r="I172" s="80"/>
      <c r="K172" s="59"/>
      <c r="L172" s="60"/>
      <c r="M172" s="3"/>
      <c r="N172" s="4"/>
      <c r="O172" s="128"/>
      <c r="P172" s="128"/>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row>
    <row r="173" spans="1:63" ht="15">
      <c r="A173" s="67"/>
      <c r="B173" s="3"/>
      <c r="C173" s="57"/>
      <c r="D173" s="512" t="str">
        <f>+D5</f>
        <v>KANSAS GAS AND ELECTRIC COMPANY</v>
      </c>
      <c r="E173" s="516"/>
      <c r="F173" s="516"/>
      <c r="G173" s="21"/>
      <c r="H173" s="21"/>
      <c r="I173" s="49"/>
      <c r="K173" s="59"/>
      <c r="L173" s="60"/>
      <c r="M173" s="3"/>
      <c r="N173" s="4"/>
      <c r="O173" s="128"/>
      <c r="P173" s="128"/>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c r="BJ173" s="129"/>
      <c r="BK173" s="129"/>
    </row>
    <row r="174" spans="1:63" ht="15">
      <c r="A174" s="67"/>
      <c r="B174" s="3"/>
      <c r="C174" s="57"/>
      <c r="D174" s="512" t="str">
        <f>+D6</f>
        <v>(WES)</v>
      </c>
      <c r="E174" s="516"/>
      <c r="F174" s="516"/>
      <c r="G174" s="21"/>
      <c r="H174" s="21"/>
      <c r="I174" s="49"/>
      <c r="J174" s="80"/>
      <c r="K174" s="59"/>
      <c r="L174" s="60"/>
      <c r="M174" s="3"/>
      <c r="N174" s="4"/>
      <c r="O174" s="128"/>
      <c r="P174" s="128"/>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row>
    <row r="175" spans="1:63" ht="15">
      <c r="A175" s="67"/>
      <c r="B175" s="3"/>
      <c r="C175" s="57"/>
      <c r="D175" s="22"/>
      <c r="E175" s="174"/>
      <c r="F175" s="174"/>
      <c r="G175" s="21"/>
      <c r="H175" s="21"/>
      <c r="I175" s="49"/>
      <c r="J175" s="80"/>
      <c r="K175" s="59"/>
      <c r="L175" s="60"/>
      <c r="M175" s="3"/>
      <c r="N175" s="4"/>
      <c r="O175" s="128"/>
      <c r="P175" s="128"/>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c r="BG175" s="129"/>
      <c r="BH175" s="129"/>
      <c r="BI175" s="129"/>
      <c r="BJ175" s="129"/>
      <c r="BK175" s="129"/>
    </row>
    <row r="176" spans="2:63" ht="15">
      <c r="B176" s="3"/>
      <c r="C176" s="1"/>
      <c r="D176" s="514" t="s">
        <v>337</v>
      </c>
      <c r="E176" s="517"/>
      <c r="F176" s="517"/>
      <c r="G176" s="2"/>
      <c r="H176" s="2"/>
      <c r="I176" s="3"/>
      <c r="J176" s="2"/>
      <c r="K176" s="3"/>
      <c r="L176" s="2"/>
      <c r="M176" s="3"/>
      <c r="N176" s="4"/>
      <c r="O176" s="128"/>
      <c r="P176" s="128"/>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c r="BJ176" s="129"/>
      <c r="BK176" s="129"/>
    </row>
    <row r="177" spans="2:63" ht="15">
      <c r="B177" s="3"/>
      <c r="C177" s="1"/>
      <c r="D177" s="46"/>
      <c r="E177" s="419"/>
      <c r="F177" s="419"/>
      <c r="G177" s="2"/>
      <c r="H177" s="2"/>
      <c r="I177" s="3"/>
      <c r="J177" s="2"/>
      <c r="K177" s="3"/>
      <c r="L177" s="2"/>
      <c r="M177" s="3"/>
      <c r="N177" s="4"/>
      <c r="O177" s="128"/>
      <c r="P177" s="128"/>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129"/>
      <c r="BI177" s="129"/>
      <c r="BJ177" s="129"/>
      <c r="BK177" s="129"/>
    </row>
    <row r="178" spans="1:63" ht="20.25">
      <c r="A178" s="84" t="s">
        <v>77</v>
      </c>
      <c r="B178" s="82"/>
      <c r="C178" s="84"/>
      <c r="D178" s="83"/>
      <c r="E178" s="85"/>
      <c r="F178" s="85"/>
      <c r="G178" s="85"/>
      <c r="H178" s="85"/>
      <c r="I178" s="82"/>
      <c r="J178" s="85"/>
      <c r="K178" s="88"/>
      <c r="L178" s="89"/>
      <c r="M178" s="88"/>
      <c r="N178" s="86"/>
      <c r="O178" s="128"/>
      <c r="P178" s="128"/>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row>
    <row r="179" spans="1:63" ht="20.25">
      <c r="A179" s="84" t="s">
        <v>787</v>
      </c>
      <c r="B179" s="82"/>
      <c r="C179" s="84"/>
      <c r="D179" s="83"/>
      <c r="E179" s="85"/>
      <c r="F179" s="85"/>
      <c r="G179" s="85"/>
      <c r="H179" s="85"/>
      <c r="I179" s="82"/>
      <c r="J179" s="85"/>
      <c r="K179" s="88"/>
      <c r="L179" s="89"/>
      <c r="M179" s="88"/>
      <c r="N179" s="86"/>
      <c r="O179" s="128"/>
      <c r="P179" s="128"/>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row>
    <row r="180" spans="1:63" ht="20.25">
      <c r="A180" s="83"/>
      <c r="B180" s="82"/>
      <c r="C180" s="84"/>
      <c r="D180" s="83"/>
      <c r="E180" s="85"/>
      <c r="F180" s="85"/>
      <c r="G180" s="85"/>
      <c r="H180" s="85"/>
      <c r="I180" s="82"/>
      <c r="J180" s="85"/>
      <c r="K180" s="88"/>
      <c r="L180" s="89"/>
      <c r="M180" s="88"/>
      <c r="N180" s="86"/>
      <c r="O180" s="128"/>
      <c r="P180" s="128"/>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row>
    <row r="181" spans="1:63" ht="20.25">
      <c r="A181" s="83" t="s">
        <v>229</v>
      </c>
      <c r="B181" s="82"/>
      <c r="C181" s="84"/>
      <c r="D181" s="82"/>
      <c r="E181" s="85"/>
      <c r="F181" s="85"/>
      <c r="G181" s="85"/>
      <c r="H181" s="85"/>
      <c r="I181" s="82"/>
      <c r="J181" s="85"/>
      <c r="K181" s="88"/>
      <c r="L181" s="89"/>
      <c r="M181" s="88"/>
      <c r="N181" s="86"/>
      <c r="O181" s="128"/>
      <c r="P181" s="128"/>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c r="BJ181" s="129"/>
      <c r="BK181" s="129"/>
    </row>
    <row r="182" spans="1:63" ht="21" thickBot="1">
      <c r="A182" s="87" t="s">
        <v>230</v>
      </c>
      <c r="B182" s="82"/>
      <c r="C182" s="84"/>
      <c r="D182" s="82"/>
      <c r="E182" s="85"/>
      <c r="F182" s="85"/>
      <c r="G182" s="85"/>
      <c r="H182" s="85"/>
      <c r="I182" s="82"/>
      <c r="J182" s="85"/>
      <c r="K182" s="88"/>
      <c r="L182" s="89"/>
      <c r="M182" s="88"/>
      <c r="N182" s="86"/>
      <c r="O182" s="128"/>
      <c r="P182" s="128"/>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row>
    <row r="183" spans="1:63" ht="20.25">
      <c r="A183" s="273" t="s">
        <v>679</v>
      </c>
      <c r="B183" s="103"/>
      <c r="C183" s="103" t="s">
        <v>471</v>
      </c>
      <c r="D183" s="103"/>
      <c r="E183" s="103"/>
      <c r="F183" s="103"/>
      <c r="G183" s="103"/>
      <c r="H183" s="103"/>
      <c r="I183" s="103"/>
      <c r="J183" s="103"/>
      <c r="K183" s="104"/>
      <c r="L183" s="104"/>
      <c r="M183" s="104"/>
      <c r="N183" s="105"/>
      <c r="O183" s="128"/>
      <c r="P183" s="128"/>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c r="BJ183" s="129"/>
      <c r="BK183" s="129"/>
    </row>
    <row r="184" spans="1:63" ht="20.25">
      <c r="A184" s="83" t="s">
        <v>656</v>
      </c>
      <c r="B184" s="82"/>
      <c r="C184" s="103" t="s">
        <v>232</v>
      </c>
      <c r="D184" s="103"/>
      <c r="E184" s="103"/>
      <c r="F184" s="103"/>
      <c r="G184" s="103"/>
      <c r="H184" s="103"/>
      <c r="I184" s="103"/>
      <c r="J184" s="103"/>
      <c r="K184" s="104"/>
      <c r="L184" s="104"/>
      <c r="M184" s="104"/>
      <c r="N184" s="105"/>
      <c r="O184" s="128"/>
      <c r="P184" s="128"/>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row>
    <row r="185" spans="1:63" ht="20.25">
      <c r="A185" s="83" t="s">
        <v>23</v>
      </c>
      <c r="B185" s="82"/>
      <c r="C185" s="103" t="s">
        <v>479</v>
      </c>
      <c r="D185" s="103"/>
      <c r="E185" s="103"/>
      <c r="F185" s="103"/>
      <c r="G185" s="103"/>
      <c r="H185" s="103"/>
      <c r="I185" s="103"/>
      <c r="J185" s="103"/>
      <c r="K185" s="104"/>
      <c r="L185" s="104"/>
      <c r="M185" s="104"/>
      <c r="N185" s="105"/>
      <c r="O185" s="128"/>
      <c r="P185" s="128"/>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row>
    <row r="186" spans="1:63" ht="20.25">
      <c r="A186" s="83"/>
      <c r="B186" s="82"/>
      <c r="C186" s="103" t="s">
        <v>727</v>
      </c>
      <c r="D186" s="103"/>
      <c r="E186" s="103"/>
      <c r="F186" s="103"/>
      <c r="G186" s="103"/>
      <c r="H186" s="103"/>
      <c r="I186" s="103"/>
      <c r="J186" s="103"/>
      <c r="K186" s="104"/>
      <c r="L186" s="104"/>
      <c r="M186" s="104"/>
      <c r="N186" s="105"/>
      <c r="O186" s="128"/>
      <c r="P186" s="128"/>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row>
    <row r="187" spans="1:63" ht="20.25">
      <c r="A187" s="101" t="s">
        <v>26</v>
      </c>
      <c r="B187" s="100"/>
      <c r="C187" s="106" t="s">
        <v>476</v>
      </c>
      <c r="D187" s="108"/>
      <c r="E187" s="108"/>
      <c r="F187" s="103"/>
      <c r="G187" s="103"/>
      <c r="H187" s="103"/>
      <c r="I187" s="103"/>
      <c r="J187" s="103"/>
      <c r="K187" s="104"/>
      <c r="L187" s="104"/>
      <c r="M187" s="104"/>
      <c r="N187" s="105"/>
      <c r="O187" s="128"/>
      <c r="P187" s="128"/>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c r="BJ187" s="129"/>
      <c r="BK187" s="129"/>
    </row>
    <row r="188" spans="1:63" ht="20.25">
      <c r="A188" s="146" t="s">
        <v>24</v>
      </c>
      <c r="B188" s="100"/>
      <c r="C188" s="106" t="s">
        <v>60</v>
      </c>
      <c r="D188" s="108"/>
      <c r="E188" s="108"/>
      <c r="F188" s="108"/>
      <c r="G188" s="108"/>
      <c r="H188" s="108"/>
      <c r="I188" s="108"/>
      <c r="J188" s="108"/>
      <c r="K188" s="108"/>
      <c r="L188" s="104"/>
      <c r="M188" s="104"/>
      <c r="N188" s="105"/>
      <c r="O188" s="128"/>
      <c r="P188" s="128"/>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row>
    <row r="189" spans="1:63" ht="20.25">
      <c r="A189" s="83" t="s">
        <v>25</v>
      </c>
      <c r="B189" s="82"/>
      <c r="C189" s="103" t="s">
        <v>632</v>
      </c>
      <c r="D189" s="103"/>
      <c r="E189" s="103"/>
      <c r="F189" s="103"/>
      <c r="G189" s="103"/>
      <c r="H189" s="103"/>
      <c r="I189" s="103"/>
      <c r="J189" s="103"/>
      <c r="K189" s="104"/>
      <c r="L189" s="104"/>
      <c r="M189" s="104"/>
      <c r="N189" s="105"/>
      <c r="O189" s="128"/>
      <c r="P189" s="128"/>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29"/>
      <c r="AY189" s="129"/>
      <c r="AZ189" s="129"/>
      <c r="BA189" s="129"/>
      <c r="BB189" s="129"/>
      <c r="BC189" s="129"/>
      <c r="BD189" s="129"/>
      <c r="BE189" s="129"/>
      <c r="BF189" s="129"/>
      <c r="BG189" s="129"/>
      <c r="BH189" s="129"/>
      <c r="BI189" s="129"/>
      <c r="BJ189" s="129"/>
      <c r="BK189" s="129"/>
    </row>
    <row r="190" spans="1:63" ht="18">
      <c r="A190" s="83"/>
      <c r="B190" s="82"/>
      <c r="C190" s="102" t="s">
        <v>753</v>
      </c>
      <c r="N190" s="105"/>
      <c r="O190" s="128"/>
      <c r="P190" s="128"/>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row>
    <row r="191" spans="1:63" ht="20.25">
      <c r="A191" s="83"/>
      <c r="B191" s="82"/>
      <c r="C191" s="103" t="s">
        <v>752</v>
      </c>
      <c r="D191" s="103"/>
      <c r="E191" s="103"/>
      <c r="F191" s="103"/>
      <c r="G191" s="103"/>
      <c r="H191" s="103"/>
      <c r="I191" s="103"/>
      <c r="J191" s="103"/>
      <c r="K191" s="104"/>
      <c r="L191" s="104"/>
      <c r="M191" s="104"/>
      <c r="N191" s="105"/>
      <c r="O191" s="128"/>
      <c r="P191" s="128"/>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row>
    <row r="192" spans="1:63" ht="20.25">
      <c r="A192" s="83" t="s">
        <v>231</v>
      </c>
      <c r="B192" s="82"/>
      <c r="C192" s="103" t="s">
        <v>236</v>
      </c>
      <c r="D192" s="103"/>
      <c r="E192" s="103"/>
      <c r="F192" s="103"/>
      <c r="G192" s="103"/>
      <c r="H192" s="103"/>
      <c r="I192" s="103"/>
      <c r="J192" s="103"/>
      <c r="K192" s="104"/>
      <c r="L192" s="104"/>
      <c r="M192" s="104"/>
      <c r="N192" s="105"/>
      <c r="O192" s="128"/>
      <c r="P192" s="128"/>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row>
    <row r="193" spans="1:63" ht="20.25">
      <c r="A193" s="83"/>
      <c r="B193" s="82"/>
      <c r="C193" s="103" t="s">
        <v>333</v>
      </c>
      <c r="D193" s="103"/>
      <c r="E193" s="103"/>
      <c r="F193" s="103"/>
      <c r="G193" s="103"/>
      <c r="H193" s="103"/>
      <c r="I193" s="103"/>
      <c r="J193" s="103"/>
      <c r="K193" s="104"/>
      <c r="L193" s="104"/>
      <c r="M193" s="104"/>
      <c r="N193" s="105"/>
      <c r="O193" s="136"/>
      <c r="P193" s="128"/>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row>
    <row r="194" spans="1:63" ht="20.25">
      <c r="A194" s="83"/>
      <c r="B194" s="82"/>
      <c r="C194" s="103" t="s">
        <v>332</v>
      </c>
      <c r="D194" s="103"/>
      <c r="E194" s="103"/>
      <c r="F194" s="103"/>
      <c r="G194" s="103"/>
      <c r="H194" s="103"/>
      <c r="I194" s="103"/>
      <c r="J194" s="103"/>
      <c r="K194" s="104"/>
      <c r="L194" s="104"/>
      <c r="M194" s="104"/>
      <c r="N194" s="105"/>
      <c r="O194" s="128"/>
      <c r="P194" s="128"/>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row>
    <row r="195" spans="1:63" ht="20.25">
      <c r="A195" s="83" t="s">
        <v>233</v>
      </c>
      <c r="B195" s="82"/>
      <c r="C195" s="103" t="s">
        <v>243</v>
      </c>
      <c r="D195" s="103"/>
      <c r="E195" s="103"/>
      <c r="F195" s="103"/>
      <c r="G195" s="103"/>
      <c r="H195" s="103"/>
      <c r="I195" s="103"/>
      <c r="J195" s="103"/>
      <c r="K195" s="104"/>
      <c r="L195" s="104"/>
      <c r="M195" s="104"/>
      <c r="N195" s="105"/>
      <c r="O195" s="128"/>
      <c r="P195" s="128"/>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row>
    <row r="196" spans="1:63" ht="20.25">
      <c r="A196" s="83"/>
      <c r="B196" s="82"/>
      <c r="C196" s="103" t="s">
        <v>249</v>
      </c>
      <c r="D196" s="103"/>
      <c r="E196" s="103"/>
      <c r="F196" s="103"/>
      <c r="G196" s="103"/>
      <c r="H196" s="103"/>
      <c r="I196" s="103"/>
      <c r="J196" s="103"/>
      <c r="K196" s="104"/>
      <c r="L196" s="104"/>
      <c r="M196" s="104"/>
      <c r="N196" s="105"/>
      <c r="O196" s="128"/>
      <c r="P196" s="128"/>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row>
    <row r="197" spans="1:63" ht="20.25">
      <c r="A197" s="83"/>
      <c r="B197" s="82"/>
      <c r="C197" s="103" t="s">
        <v>250</v>
      </c>
      <c r="D197" s="103"/>
      <c r="E197" s="103"/>
      <c r="F197" s="103"/>
      <c r="G197" s="103"/>
      <c r="H197" s="103"/>
      <c r="I197" s="103"/>
      <c r="J197" s="103"/>
      <c r="K197" s="104"/>
      <c r="L197" s="104"/>
      <c r="M197" s="104"/>
      <c r="N197" s="105"/>
      <c r="O197" s="128"/>
      <c r="P197" s="128"/>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row>
    <row r="198" spans="1:63" ht="20.25">
      <c r="A198" s="83"/>
      <c r="B198" s="82"/>
      <c r="C198" s="103" t="s">
        <v>251</v>
      </c>
      <c r="D198" s="103"/>
      <c r="E198" s="103"/>
      <c r="F198" s="103"/>
      <c r="G198" s="103"/>
      <c r="H198" s="103"/>
      <c r="I198" s="103"/>
      <c r="J198" s="103"/>
      <c r="K198" s="104"/>
      <c r="L198" s="104"/>
      <c r="M198" s="104"/>
      <c r="N198" s="105"/>
      <c r="O198" s="128"/>
      <c r="P198" s="128"/>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row>
    <row r="199" spans="1:63" ht="20.25">
      <c r="A199" s="83"/>
      <c r="B199" s="82"/>
      <c r="C199" s="103" t="s">
        <v>252</v>
      </c>
      <c r="D199" s="103"/>
      <c r="E199" s="103"/>
      <c r="F199" s="103"/>
      <c r="G199" s="103"/>
      <c r="H199" s="103"/>
      <c r="I199" s="103"/>
      <c r="J199" s="103"/>
      <c r="K199" s="104"/>
      <c r="L199" s="104"/>
      <c r="M199" s="104"/>
      <c r="N199" s="105"/>
      <c r="O199" s="128"/>
      <c r="P199" s="128"/>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row>
    <row r="200" spans="1:63" ht="20.25">
      <c r="A200" s="83"/>
      <c r="B200" s="82"/>
      <c r="C200" s="103" t="s">
        <v>20</v>
      </c>
      <c r="D200" s="103"/>
      <c r="E200" s="103"/>
      <c r="F200" s="103"/>
      <c r="G200" s="103"/>
      <c r="H200" s="103"/>
      <c r="I200" s="103"/>
      <c r="J200" s="103"/>
      <c r="K200" s="104"/>
      <c r="L200" s="104"/>
      <c r="M200" s="104"/>
      <c r="N200" s="105"/>
      <c r="O200" s="128"/>
      <c r="P200" s="128"/>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row>
    <row r="201" spans="1:63" ht="20.25">
      <c r="A201" s="83" t="s">
        <v>105</v>
      </c>
      <c r="B201" s="82"/>
      <c r="C201" s="103" t="s">
        <v>263</v>
      </c>
      <c r="D201" s="103" t="s">
        <v>253</v>
      </c>
      <c r="E201" s="125">
        <v>0.35</v>
      </c>
      <c r="F201" s="103"/>
      <c r="G201" s="103"/>
      <c r="H201" s="103"/>
      <c r="I201" s="103"/>
      <c r="J201" s="103"/>
      <c r="K201" s="104"/>
      <c r="L201" s="104"/>
      <c r="M201" s="104"/>
      <c r="N201" s="105"/>
      <c r="O201" s="128"/>
      <c r="P201" s="128"/>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row>
    <row r="202" spans="1:63" ht="20.25">
      <c r="A202" s="83"/>
      <c r="B202" s="82"/>
      <c r="C202" s="103"/>
      <c r="D202" s="103" t="s">
        <v>254</v>
      </c>
      <c r="E202" s="125">
        <v>0.0735</v>
      </c>
      <c r="F202" s="103" t="s">
        <v>255</v>
      </c>
      <c r="G202" s="103"/>
      <c r="H202" s="103"/>
      <c r="I202" s="103"/>
      <c r="J202" s="103"/>
      <c r="K202" s="104"/>
      <c r="L202" s="104"/>
      <c r="M202" s="104"/>
      <c r="N202" s="105"/>
      <c r="O202" s="128"/>
      <c r="P202" s="128"/>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row>
    <row r="203" spans="1:63" ht="20.25">
      <c r="A203" s="83"/>
      <c r="B203" s="82"/>
      <c r="C203" s="103"/>
      <c r="D203" s="103" t="s">
        <v>256</v>
      </c>
      <c r="E203" s="125">
        <v>0</v>
      </c>
      <c r="F203" s="103" t="s">
        <v>257</v>
      </c>
      <c r="G203" s="103"/>
      <c r="H203" s="103"/>
      <c r="I203" s="103"/>
      <c r="J203" s="103"/>
      <c r="K203" s="104"/>
      <c r="L203" s="104"/>
      <c r="M203" s="104"/>
      <c r="N203" s="105"/>
      <c r="O203" s="128"/>
      <c r="P203" s="128"/>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row>
    <row r="204" spans="1:63" ht="20.25">
      <c r="A204" s="83" t="s">
        <v>234</v>
      </c>
      <c r="B204" s="82"/>
      <c r="C204" s="103" t="s">
        <v>334</v>
      </c>
      <c r="D204" s="103"/>
      <c r="E204" s="103"/>
      <c r="F204" s="103"/>
      <c r="G204" s="103"/>
      <c r="H204" s="103"/>
      <c r="I204" s="103"/>
      <c r="J204" s="103"/>
      <c r="K204" s="104"/>
      <c r="L204" s="104"/>
      <c r="M204" s="104"/>
      <c r="N204" s="105"/>
      <c r="O204" s="128"/>
      <c r="P204" s="128"/>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row>
    <row r="205" spans="1:63" ht="20.25">
      <c r="A205" s="83"/>
      <c r="B205" s="82"/>
      <c r="C205" s="103" t="s">
        <v>788</v>
      </c>
      <c r="D205" s="103"/>
      <c r="E205" s="103"/>
      <c r="F205" s="103"/>
      <c r="G205" s="103"/>
      <c r="H205" s="103"/>
      <c r="I205" s="103"/>
      <c r="J205" s="103"/>
      <c r="K205" s="104"/>
      <c r="L205" s="104"/>
      <c r="M205" s="104"/>
      <c r="N205" s="105"/>
      <c r="O205" s="128"/>
      <c r="P205" s="128"/>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row>
    <row r="206" spans="1:63" ht="20.25">
      <c r="A206" s="273" t="s">
        <v>235</v>
      </c>
      <c r="B206" s="82"/>
      <c r="C206" s="84" t="s">
        <v>78</v>
      </c>
      <c r="D206" s="82"/>
      <c r="E206" s="103"/>
      <c r="F206" s="103"/>
      <c r="G206" s="103"/>
      <c r="H206" s="103"/>
      <c r="I206" s="103"/>
      <c r="J206" s="103"/>
      <c r="K206" s="104"/>
      <c r="L206" s="104"/>
      <c r="M206" s="104"/>
      <c r="N206" s="105"/>
      <c r="O206" s="128"/>
      <c r="P206" s="128"/>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row>
    <row r="207" spans="1:63" ht="20.25">
      <c r="A207" s="83" t="s">
        <v>237</v>
      </c>
      <c r="B207" s="82"/>
      <c r="C207" s="103" t="s">
        <v>273</v>
      </c>
      <c r="D207" s="103"/>
      <c r="E207" s="103"/>
      <c r="F207" s="103"/>
      <c r="G207" s="103"/>
      <c r="H207" s="103"/>
      <c r="I207" s="103"/>
      <c r="J207" s="103"/>
      <c r="K207" s="104"/>
      <c r="L207" s="104"/>
      <c r="M207" s="104"/>
      <c r="N207" s="105"/>
      <c r="O207" s="128"/>
      <c r="P207" s="128"/>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row>
    <row r="208" spans="1:63" ht="20.25">
      <c r="A208" s="83"/>
      <c r="B208" s="82"/>
      <c r="C208" s="103" t="s">
        <v>378</v>
      </c>
      <c r="D208" s="103"/>
      <c r="E208" s="103"/>
      <c r="F208" s="103"/>
      <c r="G208" s="103"/>
      <c r="H208" s="103"/>
      <c r="I208" s="103"/>
      <c r="J208" s="103"/>
      <c r="K208" s="104"/>
      <c r="L208" s="104"/>
      <c r="M208" s="104"/>
      <c r="N208" s="105"/>
      <c r="O208" s="136"/>
      <c r="P208" s="128"/>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29"/>
      <c r="BI208" s="129"/>
      <c r="BJ208" s="129"/>
      <c r="BK208" s="129"/>
    </row>
    <row r="209" spans="1:63" ht="20.25">
      <c r="A209" s="83"/>
      <c r="B209" s="82"/>
      <c r="C209" s="103" t="s">
        <v>379</v>
      </c>
      <c r="D209" s="103"/>
      <c r="E209" s="103"/>
      <c r="F209" s="103"/>
      <c r="G209" s="103"/>
      <c r="H209" s="103"/>
      <c r="I209" s="103"/>
      <c r="J209" s="103"/>
      <c r="K209" s="104"/>
      <c r="L209" s="104"/>
      <c r="M209" s="104"/>
      <c r="N209" s="105"/>
      <c r="O209" s="136"/>
      <c r="P209" s="128"/>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c r="AP209" s="129"/>
      <c r="AQ209" s="129"/>
      <c r="AR209" s="129"/>
      <c r="AS209" s="129"/>
      <c r="AT209" s="129"/>
      <c r="AU209" s="129"/>
      <c r="AV209" s="129"/>
      <c r="AW209" s="129"/>
      <c r="AX209" s="129"/>
      <c r="AY209" s="129"/>
      <c r="AZ209" s="129"/>
      <c r="BA209" s="129"/>
      <c r="BB209" s="129"/>
      <c r="BC209" s="129"/>
      <c r="BD209" s="129"/>
      <c r="BE209" s="129"/>
      <c r="BF209" s="129"/>
      <c r="BG209" s="129"/>
      <c r="BH209" s="129"/>
      <c r="BI209" s="129"/>
      <c r="BJ209" s="129"/>
      <c r="BK209" s="129"/>
    </row>
    <row r="210" spans="1:63" ht="20.25">
      <c r="A210" s="83" t="s">
        <v>238</v>
      </c>
      <c r="B210" s="82"/>
      <c r="C210" s="103" t="s">
        <v>103</v>
      </c>
      <c r="D210" s="103"/>
      <c r="E210" s="103"/>
      <c r="F210" s="103"/>
      <c r="G210" s="103"/>
      <c r="H210" s="103"/>
      <c r="I210" s="103"/>
      <c r="J210" s="103"/>
      <c r="K210" s="104"/>
      <c r="L210" s="104"/>
      <c r="M210" s="104"/>
      <c r="N210" s="105"/>
      <c r="O210" s="136"/>
      <c r="P210" s="128"/>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c r="BH210" s="129"/>
      <c r="BI210" s="129"/>
      <c r="BJ210" s="129"/>
      <c r="BK210" s="129"/>
    </row>
    <row r="211" spans="1:63" ht="20.25">
      <c r="A211" s="83" t="s">
        <v>239</v>
      </c>
      <c r="B211" s="82"/>
      <c r="C211" s="103" t="s">
        <v>271</v>
      </c>
      <c r="D211" s="103"/>
      <c r="E211" s="103"/>
      <c r="F211" s="103"/>
      <c r="G211" s="103"/>
      <c r="H211" s="103"/>
      <c r="I211" s="103"/>
      <c r="J211" s="103"/>
      <c r="K211" s="104"/>
      <c r="L211" s="104"/>
      <c r="M211" s="104"/>
      <c r="N211" s="105"/>
      <c r="O211" s="128"/>
      <c r="P211" s="128"/>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c r="BE211" s="129"/>
      <c r="BF211" s="129"/>
      <c r="BG211" s="129"/>
      <c r="BH211" s="129"/>
      <c r="BI211" s="129"/>
      <c r="BJ211" s="129"/>
      <c r="BK211" s="129"/>
    </row>
    <row r="212" spans="1:63" ht="20.25">
      <c r="A212" s="146" t="s">
        <v>240</v>
      </c>
      <c r="B212" s="100"/>
      <c r="C212" s="106" t="s">
        <v>357</v>
      </c>
      <c r="D212" s="108"/>
      <c r="E212" s="103"/>
      <c r="F212" s="103"/>
      <c r="G212" s="103"/>
      <c r="H212" s="103"/>
      <c r="I212" s="103"/>
      <c r="J212" s="103"/>
      <c r="K212" s="104"/>
      <c r="L212" s="104"/>
      <c r="M212" s="104"/>
      <c r="N212" s="105"/>
      <c r="O212" s="128"/>
      <c r="P212" s="128"/>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129"/>
      <c r="AV212" s="129"/>
      <c r="AW212" s="129"/>
      <c r="AX212" s="129"/>
      <c r="AY212" s="129"/>
      <c r="AZ212" s="129"/>
      <c r="BA212" s="129"/>
      <c r="BB212" s="129"/>
      <c r="BC212" s="129"/>
      <c r="BD212" s="129"/>
      <c r="BE212" s="129"/>
      <c r="BF212" s="129"/>
      <c r="BG212" s="129"/>
      <c r="BH212" s="129"/>
      <c r="BI212" s="129"/>
      <c r="BJ212" s="129"/>
      <c r="BK212" s="129"/>
    </row>
    <row r="213" spans="1:63" ht="20.25">
      <c r="A213" s="83" t="s">
        <v>22</v>
      </c>
      <c r="B213" s="82"/>
      <c r="C213" s="103" t="s">
        <v>241</v>
      </c>
      <c r="D213" s="103"/>
      <c r="E213" s="103"/>
      <c r="F213" s="103"/>
      <c r="G213" s="103"/>
      <c r="H213" s="103"/>
      <c r="I213" s="103"/>
      <c r="J213" s="103"/>
      <c r="K213" s="104"/>
      <c r="L213" s="104"/>
      <c r="M213" s="104"/>
      <c r="N213" s="105"/>
      <c r="O213" s="128"/>
      <c r="P213" s="128"/>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c r="BJ213" s="129"/>
      <c r="BK213" s="129"/>
    </row>
    <row r="214" spans="1:63" ht="20.25">
      <c r="A214" s="83"/>
      <c r="B214" s="82"/>
      <c r="C214" s="103" t="s">
        <v>814</v>
      </c>
      <c r="D214" s="103"/>
      <c r="E214" s="103"/>
      <c r="F214" s="103"/>
      <c r="G214" s="103"/>
      <c r="H214" s="103"/>
      <c r="I214" s="103"/>
      <c r="J214" s="103"/>
      <c r="K214" s="104"/>
      <c r="L214" s="104"/>
      <c r="M214" s="104"/>
      <c r="N214" s="105"/>
      <c r="O214" s="128"/>
      <c r="P214" s="128"/>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129"/>
      <c r="AU214" s="129"/>
      <c r="AV214" s="129"/>
      <c r="AW214" s="129"/>
      <c r="AX214" s="129"/>
      <c r="AY214" s="129"/>
      <c r="AZ214" s="129"/>
      <c r="BA214" s="129"/>
      <c r="BB214" s="129"/>
      <c r="BC214" s="129"/>
      <c r="BD214" s="129"/>
      <c r="BE214" s="129"/>
      <c r="BF214" s="129"/>
      <c r="BG214" s="129"/>
      <c r="BH214" s="129"/>
      <c r="BI214" s="129"/>
      <c r="BJ214" s="129"/>
      <c r="BK214" s="129"/>
    </row>
    <row r="215" spans="1:63" ht="20.25">
      <c r="A215" s="83" t="s">
        <v>760</v>
      </c>
      <c r="B215" s="82"/>
      <c r="C215" s="103" t="s">
        <v>763</v>
      </c>
      <c r="D215" s="103"/>
      <c r="E215" s="103"/>
      <c r="F215" s="103"/>
      <c r="G215" s="103"/>
      <c r="H215" s="103"/>
      <c r="I215" s="103"/>
      <c r="J215" s="103"/>
      <c r="K215" s="104"/>
      <c r="L215" s="104"/>
      <c r="M215" s="104"/>
      <c r="N215" s="105"/>
      <c r="O215" s="128"/>
      <c r="P215" s="128"/>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c r="AP215" s="129"/>
      <c r="AQ215" s="129"/>
      <c r="AR215" s="129"/>
      <c r="AS215" s="129"/>
      <c r="AT215" s="129"/>
      <c r="AU215" s="129"/>
      <c r="AV215" s="129"/>
      <c r="AW215" s="129"/>
      <c r="AX215" s="129"/>
      <c r="AY215" s="129"/>
      <c r="AZ215" s="129"/>
      <c r="BA215" s="129"/>
      <c r="BB215" s="129"/>
      <c r="BC215" s="129"/>
      <c r="BD215" s="129"/>
      <c r="BE215" s="129"/>
      <c r="BF215" s="129"/>
      <c r="BG215" s="129"/>
      <c r="BH215" s="129"/>
      <c r="BI215" s="129"/>
      <c r="BJ215" s="129"/>
      <c r="BK215" s="129"/>
    </row>
    <row r="216" spans="3:19" ht="17.25">
      <c r="C216" s="103" t="s">
        <v>764</v>
      </c>
      <c r="L216" s="108"/>
      <c r="M216" s="5"/>
      <c r="N216" s="5"/>
      <c r="O216" s="5"/>
      <c r="P216" s="5"/>
      <c r="Q216" s="6"/>
      <c r="R216" s="6"/>
      <c r="S216" s="6"/>
    </row>
    <row r="217" spans="1:19" ht="20.25">
      <c r="A217" s="464" t="s">
        <v>501</v>
      </c>
      <c r="B217" s="465"/>
      <c r="C217" s="466" t="s">
        <v>502</v>
      </c>
      <c r="D217" s="466"/>
      <c r="E217" s="154"/>
      <c r="F217" s="154"/>
      <c r="L217" s="108"/>
      <c r="M217" s="151"/>
      <c r="N217" s="6"/>
      <c r="O217" s="6"/>
      <c r="P217" s="6"/>
      <c r="Q217" s="6"/>
      <c r="R217" s="6"/>
      <c r="S217" s="6"/>
    </row>
    <row r="218" spans="1:19" ht="20.25">
      <c r="A218" s="467"/>
      <c r="B218" s="465"/>
      <c r="C218" s="467" t="s">
        <v>503</v>
      </c>
      <c r="D218" s="467"/>
      <c r="E218" s="470"/>
      <c r="F218" s="154"/>
      <c r="L218" s="108"/>
      <c r="M218" s="151"/>
      <c r="N218" s="6"/>
      <c r="O218" s="6"/>
      <c r="P218" s="6"/>
      <c r="Q218" s="6"/>
      <c r="R218" s="6"/>
      <c r="S218" s="6"/>
    </row>
    <row r="219" spans="1:19" ht="17.25">
      <c r="A219" s="467"/>
      <c r="B219" s="465"/>
      <c r="C219" s="467" t="s">
        <v>504</v>
      </c>
      <c r="E219" s="471" t="s">
        <v>505</v>
      </c>
      <c r="F219" s="154"/>
      <c r="J219" s="6"/>
      <c r="K219" s="6"/>
      <c r="L219" s="6"/>
      <c r="M219" s="6"/>
      <c r="N219" s="6"/>
      <c r="O219" s="6"/>
      <c r="P219" s="6"/>
      <c r="Q219" s="6"/>
      <c r="R219" s="6"/>
      <c r="S219" s="6"/>
    </row>
    <row r="220" spans="1:19" ht="18">
      <c r="A220" s="467"/>
      <c r="B220" s="465"/>
      <c r="C220" s="472" t="s">
        <v>506</v>
      </c>
      <c r="E220" s="463">
        <v>0</v>
      </c>
      <c r="F220" s="154"/>
      <c r="J220" s="6"/>
      <c r="K220" s="6"/>
      <c r="L220" s="6"/>
      <c r="M220" s="6"/>
      <c r="N220" s="6"/>
      <c r="O220" s="6"/>
      <c r="P220" s="6"/>
      <c r="Q220" s="6"/>
      <c r="R220" s="6"/>
      <c r="S220" s="6"/>
    </row>
    <row r="221" spans="1:19" ht="20.25">
      <c r="A221" s="467"/>
      <c r="B221" s="465"/>
      <c r="C221" s="467" t="s">
        <v>507</v>
      </c>
      <c r="E221" s="466"/>
      <c r="F221" s="154"/>
      <c r="G221" s="153"/>
      <c r="H221" s="153"/>
      <c r="I221" s="153"/>
      <c r="J221" s="6"/>
      <c r="K221" s="6"/>
      <c r="L221" s="6"/>
      <c r="M221" s="6"/>
      <c r="N221" s="6"/>
      <c r="O221" s="6"/>
      <c r="P221" s="6"/>
      <c r="Q221" s="6"/>
      <c r="R221" s="6"/>
      <c r="S221" s="6"/>
    </row>
    <row r="222" spans="1:19" ht="18">
      <c r="A222" s="467"/>
      <c r="B222" s="465"/>
      <c r="C222" s="472" t="s">
        <v>508</v>
      </c>
      <c r="E222" s="474">
        <v>2.68</v>
      </c>
      <c r="F222" s="154"/>
      <c r="G222" s="6"/>
      <c r="H222" s="6"/>
      <c r="I222" s="6"/>
      <c r="J222" s="6"/>
      <c r="K222" s="6"/>
      <c r="L222" s="6"/>
      <c r="M222" s="6"/>
      <c r="N222" s="6"/>
      <c r="O222" s="6"/>
      <c r="P222" s="6"/>
      <c r="Q222" s="6"/>
      <c r="R222" s="6"/>
      <c r="S222" s="6"/>
    </row>
    <row r="223" spans="1:19" ht="18">
      <c r="A223" s="467"/>
      <c r="B223" s="465"/>
      <c r="C223" s="472" t="s">
        <v>509</v>
      </c>
      <c r="E223" s="474">
        <v>1.54</v>
      </c>
      <c r="F223" s="154"/>
      <c r="G223" s="6"/>
      <c r="H223" s="6"/>
      <c r="I223" s="6"/>
      <c r="J223" s="6"/>
      <c r="K223" s="6"/>
      <c r="L223" s="6"/>
      <c r="M223" s="6"/>
      <c r="N223" s="6"/>
      <c r="O223" s="6"/>
      <c r="P223" s="6"/>
      <c r="Q223" s="6"/>
      <c r="R223" s="6"/>
      <c r="S223" s="6"/>
    </row>
    <row r="224" spans="1:19" ht="18">
      <c r="A224" s="467"/>
      <c r="B224" s="465"/>
      <c r="C224" s="472" t="s">
        <v>510</v>
      </c>
      <c r="E224" s="474">
        <v>3.51</v>
      </c>
      <c r="F224" s="154"/>
      <c r="G224" s="6"/>
      <c r="H224" s="6"/>
      <c r="I224" s="6"/>
      <c r="J224" s="6"/>
      <c r="K224" s="6"/>
      <c r="L224" s="6"/>
      <c r="M224" s="6"/>
      <c r="N224" s="6"/>
      <c r="O224" s="6"/>
      <c r="P224" s="6"/>
      <c r="Q224" s="6"/>
      <c r="R224" s="6"/>
      <c r="S224" s="6"/>
    </row>
    <row r="225" spans="1:19" ht="18">
      <c r="A225" s="467"/>
      <c r="B225" s="465"/>
      <c r="C225" s="472" t="s">
        <v>511</v>
      </c>
      <c r="E225" s="474">
        <v>3.19</v>
      </c>
      <c r="F225" s="154"/>
      <c r="G225" s="6"/>
      <c r="H225" s="6"/>
      <c r="I225" s="6"/>
      <c r="J225" s="6"/>
      <c r="K225" s="6"/>
      <c r="L225" s="6"/>
      <c r="M225" s="6"/>
      <c r="N225" s="6"/>
      <c r="O225" s="6"/>
      <c r="P225" s="6"/>
      <c r="Q225" s="6"/>
      <c r="R225" s="6"/>
      <c r="S225" s="6"/>
    </row>
    <row r="226" spans="1:19" ht="18">
      <c r="A226" s="466"/>
      <c r="B226" s="465"/>
      <c r="C226" s="468" t="s">
        <v>512</v>
      </c>
      <c r="E226" s="475">
        <v>2.05</v>
      </c>
      <c r="F226" s="154"/>
      <c r="G226" s="6"/>
      <c r="H226" s="6"/>
      <c r="I226" s="6"/>
      <c r="J226" s="6"/>
      <c r="K226" s="6"/>
      <c r="L226" s="6"/>
      <c r="M226" s="6"/>
      <c r="N226" s="6"/>
      <c r="O226" s="6"/>
      <c r="P226" s="6"/>
      <c r="Q226" s="6"/>
      <c r="R226" s="6"/>
      <c r="S226" s="6"/>
    </row>
    <row r="227" spans="1:19" ht="18">
      <c r="A227" s="466"/>
      <c r="B227" s="465"/>
      <c r="C227" s="468" t="s">
        <v>513</v>
      </c>
      <c r="E227" s="475">
        <v>1.5</v>
      </c>
      <c r="F227" s="154"/>
      <c r="G227" s="6"/>
      <c r="H227" s="6"/>
      <c r="I227" s="6"/>
      <c r="J227" s="6"/>
      <c r="K227" s="6"/>
      <c r="L227" s="6"/>
      <c r="M227" s="6"/>
      <c r="N227" s="6"/>
      <c r="O227" s="6"/>
      <c r="P227" s="6"/>
      <c r="Q227" s="6"/>
      <c r="R227" s="6"/>
      <c r="S227" s="6"/>
    </row>
    <row r="228" spans="1:19" ht="18">
      <c r="A228" s="466"/>
      <c r="B228" s="465"/>
      <c r="C228" s="468" t="s">
        <v>514</v>
      </c>
      <c r="E228" s="475">
        <v>2.1</v>
      </c>
      <c r="F228" s="154"/>
      <c r="G228" s="6"/>
      <c r="H228" s="6"/>
      <c r="I228" s="6"/>
      <c r="J228" s="6"/>
      <c r="K228" s="6"/>
      <c r="L228" s="6"/>
      <c r="M228" s="6"/>
      <c r="N228" s="6"/>
      <c r="O228" s="6"/>
      <c r="P228" s="6"/>
      <c r="Q228" s="6"/>
      <c r="R228" s="6"/>
      <c r="S228" s="6"/>
    </row>
    <row r="229" spans="1:19" ht="18">
      <c r="A229" s="466"/>
      <c r="B229" s="465"/>
      <c r="C229" s="468" t="s">
        <v>515</v>
      </c>
      <c r="E229" s="475">
        <v>1.56</v>
      </c>
      <c r="F229" s="154"/>
      <c r="G229" s="6"/>
      <c r="H229" s="6"/>
      <c r="I229" s="6"/>
      <c r="J229" s="6"/>
      <c r="K229" s="6"/>
      <c r="L229" s="6"/>
      <c r="M229" s="6"/>
      <c r="N229" s="6"/>
      <c r="O229" s="6"/>
      <c r="P229" s="6"/>
      <c r="Q229" s="6"/>
      <c r="R229" s="6"/>
      <c r="S229" s="6"/>
    </row>
    <row r="230" spans="1:19" ht="17.25">
      <c r="A230" s="469" t="s">
        <v>516</v>
      </c>
      <c r="B230" s="465"/>
      <c r="C230" s="468" t="s">
        <v>478</v>
      </c>
      <c r="D230" s="466"/>
      <c r="E230" s="154"/>
      <c r="F230" s="154"/>
      <c r="G230" s="6"/>
      <c r="H230" s="6"/>
      <c r="I230" s="6"/>
      <c r="J230" s="6"/>
      <c r="K230" s="6"/>
      <c r="L230" s="6"/>
      <c r="M230" s="6"/>
      <c r="N230" s="6"/>
      <c r="O230" s="6"/>
      <c r="P230" s="6"/>
      <c r="Q230" s="6"/>
      <c r="R230" s="6"/>
      <c r="S230" s="6"/>
    </row>
    <row r="231" spans="1:19" ht="17.25">
      <c r="A231" s="466"/>
      <c r="B231" s="465"/>
      <c r="C231" s="468" t="s">
        <v>477</v>
      </c>
      <c r="D231" s="466"/>
      <c r="E231" s="154"/>
      <c r="F231" s="154"/>
      <c r="G231" s="6"/>
      <c r="H231" s="6"/>
      <c r="I231" s="6"/>
      <c r="J231" s="6"/>
      <c r="K231" s="6"/>
      <c r="L231" s="6"/>
      <c r="M231" s="6"/>
      <c r="N231" s="6"/>
      <c r="O231" s="6"/>
      <c r="P231" s="6"/>
      <c r="Q231" s="6"/>
      <c r="R231" s="6"/>
      <c r="S231" s="6"/>
    </row>
    <row r="232" spans="1:19" ht="18">
      <c r="A232" s="466"/>
      <c r="B232" s="465"/>
      <c r="C232" s="466" t="s">
        <v>517</v>
      </c>
      <c r="E232" s="473">
        <v>7982924.92</v>
      </c>
      <c r="F232" s="154"/>
      <c r="G232" s="6"/>
      <c r="H232" s="6"/>
      <c r="I232" s="6"/>
      <c r="J232" s="6"/>
      <c r="K232" s="6"/>
      <c r="L232" s="6"/>
      <c r="M232" s="6"/>
      <c r="N232" s="6"/>
      <c r="O232" s="6"/>
      <c r="P232" s="6"/>
      <c r="Q232" s="6"/>
      <c r="R232" s="6"/>
      <c r="S232" s="6"/>
    </row>
    <row r="233" spans="1:19" ht="17.25">
      <c r="A233" s="469"/>
      <c r="B233" s="465"/>
      <c r="C233" s="466"/>
      <c r="D233" s="466"/>
      <c r="E233" s="154"/>
      <c r="F233" s="154"/>
      <c r="G233" s="6"/>
      <c r="H233" s="6"/>
      <c r="I233" s="6"/>
      <c r="J233" s="6"/>
      <c r="K233" s="6"/>
      <c r="L233" s="6"/>
      <c r="M233" s="6"/>
      <c r="N233" s="6"/>
      <c r="O233" s="6"/>
      <c r="P233" s="6"/>
      <c r="Q233" s="6"/>
      <c r="R233" s="6"/>
      <c r="S233" s="6"/>
    </row>
    <row r="234" spans="1:19" ht="17.25">
      <c r="A234" s="465"/>
      <c r="B234" s="465"/>
      <c r="C234" s="466"/>
      <c r="D234" s="466"/>
      <c r="E234" s="154"/>
      <c r="F234" s="154"/>
      <c r="G234" s="6"/>
      <c r="H234" s="6"/>
      <c r="I234" s="6"/>
      <c r="J234" s="6"/>
      <c r="K234" s="6"/>
      <c r="L234" s="6"/>
      <c r="M234" s="6"/>
      <c r="N234" s="6"/>
      <c r="O234" s="6"/>
      <c r="P234" s="6"/>
      <c r="Q234" s="6"/>
      <c r="R234" s="6"/>
      <c r="S234" s="6"/>
    </row>
    <row r="235" spans="3:19" ht="15">
      <c r="C235" s="6"/>
      <c r="D235" s="6"/>
      <c r="E235" s="6"/>
      <c r="F235" s="6"/>
      <c r="G235" s="6"/>
      <c r="H235" s="6"/>
      <c r="I235" s="6"/>
      <c r="J235" s="6"/>
      <c r="K235" s="6"/>
      <c r="L235" s="6"/>
      <c r="M235" s="6"/>
      <c r="N235" s="6"/>
      <c r="O235" s="6"/>
      <c r="P235" s="6"/>
      <c r="Q235" s="6"/>
      <c r="R235" s="6"/>
      <c r="S235" s="6"/>
    </row>
    <row r="236" spans="3:19" ht="15">
      <c r="C236" s="6"/>
      <c r="D236" s="6"/>
      <c r="E236" s="6"/>
      <c r="F236" s="6"/>
      <c r="G236" s="6"/>
      <c r="H236" s="6"/>
      <c r="I236" s="6"/>
      <c r="J236" s="6"/>
      <c r="K236" s="6"/>
      <c r="L236" s="6"/>
      <c r="M236" s="6"/>
      <c r="N236" s="6"/>
      <c r="O236" s="6"/>
      <c r="P236" s="6"/>
      <c r="Q236" s="6"/>
      <c r="R236" s="6"/>
      <c r="S236" s="6"/>
    </row>
    <row r="237" spans="3:19" ht="15">
      <c r="C237" s="6"/>
      <c r="D237" s="6"/>
      <c r="E237" s="6"/>
      <c r="F237" s="6"/>
      <c r="G237" s="6"/>
      <c r="H237" s="6"/>
      <c r="I237" s="6"/>
      <c r="J237" s="6"/>
      <c r="K237" s="6"/>
      <c r="L237" s="6"/>
      <c r="M237" s="6"/>
      <c r="N237" s="6"/>
      <c r="O237" s="6"/>
      <c r="P237" s="6"/>
      <c r="Q237" s="6"/>
      <c r="R237" s="6"/>
      <c r="S237" s="6"/>
    </row>
    <row r="238" spans="3:19" ht="15">
      <c r="C238" s="6"/>
      <c r="D238" s="6"/>
      <c r="E238" s="6"/>
      <c r="F238" s="6"/>
      <c r="G238" s="6"/>
      <c r="H238" s="6"/>
      <c r="I238" s="6"/>
      <c r="J238" s="6"/>
      <c r="K238" s="6"/>
      <c r="L238" s="6"/>
      <c r="M238" s="6"/>
      <c r="N238" s="6"/>
      <c r="O238" s="6"/>
      <c r="P238" s="6"/>
      <c r="Q238" s="6"/>
      <c r="R238" s="6"/>
      <c r="S238" s="6"/>
    </row>
    <row r="239" spans="3:19" ht="15">
      <c r="C239" s="6"/>
      <c r="D239" s="6"/>
      <c r="E239" s="6"/>
      <c r="F239" s="6"/>
      <c r="G239" s="6"/>
      <c r="H239" s="6"/>
      <c r="I239" s="6"/>
      <c r="J239" s="6"/>
      <c r="K239" s="6"/>
      <c r="L239" s="6"/>
      <c r="M239" s="6"/>
      <c r="N239" s="6"/>
      <c r="O239" s="6"/>
      <c r="P239" s="6"/>
      <c r="Q239" s="6"/>
      <c r="R239" s="6"/>
      <c r="S239" s="6"/>
    </row>
    <row r="240" spans="3:19" ht="15">
      <c r="C240" s="6"/>
      <c r="D240" s="6"/>
      <c r="E240" s="6"/>
      <c r="F240" s="6"/>
      <c r="G240" s="6"/>
      <c r="H240" s="6"/>
      <c r="I240" s="6"/>
      <c r="J240" s="6"/>
      <c r="K240" s="6"/>
      <c r="L240" s="6"/>
      <c r="M240" s="6"/>
      <c r="N240" s="6"/>
      <c r="O240" s="6"/>
      <c r="P240" s="6"/>
      <c r="Q240" s="6"/>
      <c r="R240" s="6"/>
      <c r="S240" s="6"/>
    </row>
    <row r="241" spans="3:19" ht="15">
      <c r="C241" s="6"/>
      <c r="D241" s="6"/>
      <c r="E241" s="6"/>
      <c r="F241" s="6"/>
      <c r="G241" s="6"/>
      <c r="H241" s="6"/>
      <c r="I241" s="6"/>
      <c r="J241" s="6"/>
      <c r="K241" s="6"/>
      <c r="L241" s="6"/>
      <c r="M241" s="6"/>
      <c r="N241" s="6"/>
      <c r="O241" s="6"/>
      <c r="P241" s="6"/>
      <c r="Q241" s="6"/>
      <c r="R241" s="6"/>
      <c r="S241" s="6"/>
    </row>
    <row r="242" spans="3:19" ht="15">
      <c r="C242" s="6"/>
      <c r="D242" s="6"/>
      <c r="E242" s="6"/>
      <c r="F242" s="6"/>
      <c r="G242" s="6"/>
      <c r="H242" s="6"/>
      <c r="I242" s="6"/>
      <c r="J242" s="6"/>
      <c r="K242" s="6"/>
      <c r="L242" s="6"/>
      <c r="M242" s="6"/>
      <c r="N242" s="6"/>
      <c r="O242" s="6"/>
      <c r="P242" s="6"/>
      <c r="Q242" s="6"/>
      <c r="R242" s="6"/>
      <c r="S242" s="6"/>
    </row>
    <row r="243" spans="3:19" ht="15">
      <c r="C243" s="6"/>
      <c r="D243" s="6"/>
      <c r="E243" s="6"/>
      <c r="F243" s="6"/>
      <c r="G243" s="6"/>
      <c r="H243" s="6"/>
      <c r="I243" s="6"/>
      <c r="J243" s="6"/>
      <c r="K243" s="6"/>
      <c r="L243" s="6"/>
      <c r="M243" s="6"/>
      <c r="N243" s="6"/>
      <c r="O243" s="6"/>
      <c r="P243" s="6"/>
      <c r="Q243" s="6"/>
      <c r="R243" s="6"/>
      <c r="S243" s="6"/>
    </row>
    <row r="244" spans="3:19" ht="15">
      <c r="C244" s="6"/>
      <c r="D244" s="6"/>
      <c r="E244" s="6"/>
      <c r="F244" s="6"/>
      <c r="G244" s="6"/>
      <c r="H244" s="6"/>
      <c r="I244" s="6"/>
      <c r="J244" s="6"/>
      <c r="K244" s="6"/>
      <c r="L244" s="6"/>
      <c r="M244" s="6"/>
      <c r="N244" s="6"/>
      <c r="O244" s="6"/>
      <c r="P244" s="6"/>
      <c r="Q244" s="6"/>
      <c r="R244" s="6"/>
      <c r="S244" s="6"/>
    </row>
    <row r="245" spans="3:19" ht="15">
      <c r="C245" s="6"/>
      <c r="D245" s="6"/>
      <c r="E245" s="6"/>
      <c r="F245" s="6"/>
      <c r="G245" s="6"/>
      <c r="H245" s="6"/>
      <c r="I245" s="6"/>
      <c r="J245" s="6"/>
      <c r="K245" s="6"/>
      <c r="L245" s="6"/>
      <c r="M245" s="6"/>
      <c r="N245" s="6"/>
      <c r="O245" s="6"/>
      <c r="P245" s="6"/>
      <c r="Q245" s="6"/>
      <c r="R245" s="6"/>
      <c r="S245" s="6"/>
    </row>
    <row r="246" spans="3:19" ht="15">
      <c r="C246" s="6"/>
      <c r="D246" s="6"/>
      <c r="E246" s="6"/>
      <c r="F246" s="6"/>
      <c r="G246" s="6"/>
      <c r="H246" s="6"/>
      <c r="I246" s="6"/>
      <c r="J246" s="6"/>
      <c r="K246" s="6"/>
      <c r="L246" s="6"/>
      <c r="M246" s="6"/>
      <c r="N246" s="6"/>
      <c r="O246" s="6"/>
      <c r="P246" s="6"/>
      <c r="Q246" s="6"/>
      <c r="R246" s="6"/>
      <c r="S246" s="6"/>
    </row>
    <row r="247" spans="3:19" ht="15">
      <c r="C247" s="6"/>
      <c r="D247" s="6"/>
      <c r="E247" s="6"/>
      <c r="F247" s="6"/>
      <c r="G247" s="6"/>
      <c r="H247" s="6"/>
      <c r="I247" s="6"/>
      <c r="J247" s="6"/>
      <c r="K247" s="6"/>
      <c r="L247" s="6"/>
      <c r="M247" s="6"/>
      <c r="N247" s="6"/>
      <c r="O247" s="6"/>
      <c r="P247" s="6"/>
      <c r="Q247" s="6"/>
      <c r="R247" s="6"/>
      <c r="S247" s="6"/>
    </row>
    <row r="248" spans="3:19" ht="15">
      <c r="C248" s="6"/>
      <c r="D248" s="6"/>
      <c r="E248" s="6"/>
      <c r="F248" s="6"/>
      <c r="G248" s="6"/>
      <c r="H248" s="6"/>
      <c r="I248" s="6"/>
      <c r="J248" s="6"/>
      <c r="K248" s="6"/>
      <c r="L248" s="6"/>
      <c r="M248" s="6"/>
      <c r="N248" s="6"/>
      <c r="O248" s="6"/>
      <c r="P248" s="6"/>
      <c r="Q248" s="6"/>
      <c r="R248" s="6"/>
      <c r="S248" s="6"/>
    </row>
    <row r="249" spans="3:19" ht="15">
      <c r="C249" s="6"/>
      <c r="D249" s="6"/>
      <c r="E249" s="6"/>
      <c r="F249" s="6"/>
      <c r="G249" s="6"/>
      <c r="H249" s="6"/>
      <c r="I249" s="6"/>
      <c r="J249" s="6"/>
      <c r="K249" s="6"/>
      <c r="L249" s="6"/>
      <c r="M249" s="6"/>
      <c r="N249" s="6"/>
      <c r="O249" s="6"/>
      <c r="P249" s="6"/>
      <c r="Q249" s="6"/>
      <c r="R249" s="6"/>
      <c r="S249" s="6"/>
    </row>
    <row r="250" spans="3:19" ht="15">
      <c r="C250" s="6"/>
      <c r="D250" s="6"/>
      <c r="E250" s="6"/>
      <c r="F250" s="6"/>
      <c r="G250" s="6"/>
      <c r="H250" s="6"/>
      <c r="I250" s="6"/>
      <c r="J250" s="6"/>
      <c r="K250" s="6"/>
      <c r="L250" s="6"/>
      <c r="M250" s="6"/>
      <c r="N250" s="6"/>
      <c r="O250" s="6"/>
      <c r="P250" s="6"/>
      <c r="Q250" s="6"/>
      <c r="R250" s="6"/>
      <c r="S250" s="6"/>
    </row>
    <row r="251" spans="3:19" ht="15">
      <c r="C251" s="6"/>
      <c r="D251" s="6"/>
      <c r="E251" s="6"/>
      <c r="F251" s="6"/>
      <c r="G251" s="6"/>
      <c r="H251" s="6"/>
      <c r="I251" s="6"/>
      <c r="J251" s="6"/>
      <c r="K251" s="6"/>
      <c r="L251" s="6"/>
      <c r="M251" s="6"/>
      <c r="N251" s="6"/>
      <c r="O251" s="6"/>
      <c r="P251" s="6"/>
      <c r="Q251" s="6"/>
      <c r="R251" s="6"/>
      <c r="S251" s="6"/>
    </row>
    <row r="252" spans="3:19" ht="15">
      <c r="C252" s="6"/>
      <c r="D252" s="6"/>
      <c r="E252" s="6"/>
      <c r="F252" s="6"/>
      <c r="G252" s="6"/>
      <c r="H252" s="6"/>
      <c r="I252" s="6"/>
      <c r="J252" s="6"/>
      <c r="K252" s="6"/>
      <c r="L252" s="6"/>
      <c r="M252" s="6"/>
      <c r="N252" s="6"/>
      <c r="O252" s="6"/>
      <c r="P252" s="6"/>
      <c r="Q252" s="6"/>
      <c r="R252" s="6"/>
      <c r="S252" s="6"/>
    </row>
    <row r="253" spans="3:19" ht="15">
      <c r="C253" s="6"/>
      <c r="D253" s="6"/>
      <c r="E253" s="6"/>
      <c r="F253" s="6"/>
      <c r="G253" s="6"/>
      <c r="H253" s="6"/>
      <c r="I253" s="6"/>
      <c r="J253" s="6"/>
      <c r="K253" s="6"/>
      <c r="L253" s="6"/>
      <c r="M253" s="6"/>
      <c r="N253" s="6"/>
      <c r="O253" s="6"/>
      <c r="P253" s="6"/>
      <c r="Q253" s="6"/>
      <c r="R253" s="6"/>
      <c r="S253" s="6"/>
    </row>
    <row r="254" spans="3:19" ht="15">
      <c r="C254" s="6"/>
      <c r="D254" s="6"/>
      <c r="E254" s="6"/>
      <c r="F254" s="6"/>
      <c r="G254" s="6"/>
      <c r="H254" s="6"/>
      <c r="I254" s="6"/>
      <c r="J254" s="6"/>
      <c r="K254" s="6"/>
      <c r="L254" s="6"/>
      <c r="M254" s="6"/>
      <c r="N254" s="6"/>
      <c r="O254" s="6"/>
      <c r="P254" s="6"/>
      <c r="Q254" s="6"/>
      <c r="R254" s="6"/>
      <c r="S254" s="6"/>
    </row>
    <row r="255" spans="3:19" ht="15">
      <c r="C255" s="6"/>
      <c r="D255" s="6"/>
      <c r="E255" s="6"/>
      <c r="F255" s="6"/>
      <c r="G255" s="6"/>
      <c r="H255" s="6"/>
      <c r="I255" s="6"/>
      <c r="J255" s="6"/>
      <c r="K255" s="6"/>
      <c r="L255" s="6"/>
      <c r="M255" s="6"/>
      <c r="N255" s="6"/>
      <c r="O255" s="6"/>
      <c r="P255" s="6"/>
      <c r="Q255" s="6"/>
      <c r="R255" s="6"/>
      <c r="S255" s="6"/>
    </row>
    <row r="256" spans="3:19" ht="15">
      <c r="C256" s="6"/>
      <c r="D256" s="6"/>
      <c r="E256" s="6"/>
      <c r="F256" s="6"/>
      <c r="G256" s="6"/>
      <c r="H256" s="6"/>
      <c r="I256" s="6"/>
      <c r="J256" s="6"/>
      <c r="K256" s="6"/>
      <c r="L256" s="6"/>
      <c r="M256" s="6"/>
      <c r="N256" s="6"/>
      <c r="O256" s="6"/>
      <c r="P256" s="6"/>
      <c r="Q256" s="6"/>
      <c r="R256" s="6"/>
      <c r="S256" s="6"/>
    </row>
    <row r="257" spans="3:19" ht="15">
      <c r="C257" s="6"/>
      <c r="D257" s="6"/>
      <c r="E257" s="6"/>
      <c r="F257" s="6"/>
      <c r="G257" s="6"/>
      <c r="H257" s="6"/>
      <c r="I257" s="6"/>
      <c r="J257" s="6"/>
      <c r="K257" s="6"/>
      <c r="L257" s="6"/>
      <c r="M257" s="6"/>
      <c r="N257" s="6"/>
      <c r="O257" s="6"/>
      <c r="P257" s="6"/>
      <c r="Q257" s="6"/>
      <c r="R257" s="6"/>
      <c r="S257" s="6"/>
    </row>
    <row r="258" spans="3:19" ht="15">
      <c r="C258" s="6"/>
      <c r="D258" s="6"/>
      <c r="E258" s="6"/>
      <c r="F258" s="6"/>
      <c r="G258" s="6"/>
      <c r="H258" s="6"/>
      <c r="I258" s="6"/>
      <c r="J258" s="6"/>
      <c r="K258" s="6"/>
      <c r="L258" s="6"/>
      <c r="M258" s="6"/>
      <c r="N258" s="6"/>
      <c r="O258" s="6"/>
      <c r="P258" s="6"/>
      <c r="Q258" s="6"/>
      <c r="R258" s="6"/>
      <c r="S258" s="6"/>
    </row>
    <row r="259" spans="3:19" ht="15">
      <c r="C259" s="6"/>
      <c r="D259" s="6"/>
      <c r="E259" s="6"/>
      <c r="F259" s="6"/>
      <c r="G259" s="6"/>
      <c r="H259" s="6"/>
      <c r="I259" s="6"/>
      <c r="J259" s="6"/>
      <c r="K259" s="6"/>
      <c r="L259" s="6"/>
      <c r="M259" s="6"/>
      <c r="N259" s="6"/>
      <c r="O259" s="6"/>
      <c r="P259" s="6"/>
      <c r="Q259" s="6"/>
      <c r="R259" s="6"/>
      <c r="S259" s="6"/>
    </row>
    <row r="260" spans="3:19" ht="15">
      <c r="C260" s="6"/>
      <c r="D260" s="6"/>
      <c r="E260" s="6"/>
      <c r="F260" s="6"/>
      <c r="G260" s="6"/>
      <c r="H260" s="6"/>
      <c r="I260" s="6"/>
      <c r="J260" s="6"/>
      <c r="K260" s="6"/>
      <c r="L260" s="6"/>
      <c r="M260" s="6"/>
      <c r="N260" s="6"/>
      <c r="O260" s="6"/>
      <c r="P260" s="6"/>
      <c r="Q260" s="6"/>
      <c r="R260" s="6"/>
      <c r="S260" s="6"/>
    </row>
    <row r="261" spans="3:19" ht="15">
      <c r="C261" s="6"/>
      <c r="D261" s="6"/>
      <c r="E261" s="6"/>
      <c r="F261" s="6"/>
      <c r="G261" s="6"/>
      <c r="H261" s="6"/>
      <c r="I261" s="6"/>
      <c r="J261" s="6"/>
      <c r="K261" s="6"/>
      <c r="L261" s="6"/>
      <c r="M261" s="6"/>
      <c r="N261" s="6"/>
      <c r="O261" s="6"/>
      <c r="P261" s="6"/>
      <c r="Q261" s="6"/>
      <c r="R261" s="6"/>
      <c r="S261" s="6"/>
    </row>
    <row r="262" spans="3:19" ht="15">
      <c r="C262" s="6"/>
      <c r="D262" s="6"/>
      <c r="E262" s="6"/>
      <c r="F262" s="6"/>
      <c r="G262" s="6"/>
      <c r="H262" s="6"/>
      <c r="I262" s="6"/>
      <c r="J262" s="6"/>
      <c r="K262" s="6"/>
      <c r="L262" s="6"/>
      <c r="M262" s="6"/>
      <c r="N262" s="6"/>
      <c r="O262" s="6"/>
      <c r="P262" s="6"/>
      <c r="Q262" s="6"/>
      <c r="R262" s="6"/>
      <c r="S262" s="6"/>
    </row>
    <row r="263" spans="3:19" ht="15">
      <c r="C263" s="6"/>
      <c r="D263" s="6"/>
      <c r="E263" s="6"/>
      <c r="F263" s="6"/>
      <c r="G263" s="6"/>
      <c r="H263" s="6"/>
      <c r="I263" s="6"/>
      <c r="J263" s="6"/>
      <c r="K263" s="6"/>
      <c r="L263" s="6"/>
      <c r="M263" s="6"/>
      <c r="N263" s="6"/>
      <c r="O263" s="6"/>
      <c r="P263" s="6"/>
      <c r="Q263" s="6"/>
      <c r="R263" s="6"/>
      <c r="S263" s="6"/>
    </row>
    <row r="264" spans="3:19" ht="15">
      <c r="C264" s="6"/>
      <c r="D264" s="6"/>
      <c r="E264" s="6"/>
      <c r="F264" s="6"/>
      <c r="G264" s="6"/>
      <c r="H264" s="6"/>
      <c r="I264" s="6"/>
      <c r="J264" s="6"/>
      <c r="K264" s="6"/>
      <c r="L264" s="6"/>
      <c r="M264" s="6"/>
      <c r="N264" s="6"/>
      <c r="O264" s="6"/>
      <c r="P264" s="6"/>
      <c r="Q264" s="6"/>
      <c r="R264" s="6"/>
      <c r="S264" s="6"/>
    </row>
    <row r="265" spans="3:19" ht="15">
      <c r="C265" s="6"/>
      <c r="D265" s="6"/>
      <c r="E265" s="6"/>
      <c r="F265" s="6"/>
      <c r="G265" s="6"/>
      <c r="H265" s="6"/>
      <c r="I265" s="6"/>
      <c r="J265" s="6"/>
      <c r="K265" s="6"/>
      <c r="L265" s="6"/>
      <c r="M265" s="6"/>
      <c r="N265" s="6"/>
      <c r="O265" s="6"/>
      <c r="P265" s="6"/>
      <c r="Q265" s="6"/>
      <c r="R265" s="6"/>
      <c r="S265" s="6"/>
    </row>
    <row r="266" spans="3:19" ht="15">
      <c r="C266" s="6"/>
      <c r="D266" s="6"/>
      <c r="E266" s="6"/>
      <c r="F266" s="6"/>
      <c r="G266" s="6"/>
      <c r="H266" s="6"/>
      <c r="I266" s="6"/>
      <c r="J266" s="6"/>
      <c r="K266" s="6"/>
      <c r="L266" s="6"/>
      <c r="M266" s="6"/>
      <c r="N266" s="6"/>
      <c r="O266" s="6"/>
      <c r="P266" s="6"/>
      <c r="Q266" s="6"/>
      <c r="R266" s="6"/>
      <c r="S266" s="6"/>
    </row>
    <row r="267" spans="3:19" ht="15">
      <c r="C267" s="6"/>
      <c r="D267" s="6"/>
      <c r="E267" s="6"/>
      <c r="F267" s="6"/>
      <c r="G267" s="6"/>
      <c r="H267" s="6"/>
      <c r="I267" s="6"/>
      <c r="J267" s="6"/>
      <c r="K267" s="6"/>
      <c r="L267" s="6"/>
      <c r="M267" s="6"/>
      <c r="N267" s="6"/>
      <c r="O267" s="6"/>
      <c r="P267" s="6"/>
      <c r="Q267" s="6"/>
      <c r="R267" s="6"/>
      <c r="S267" s="6"/>
    </row>
    <row r="268" spans="3:19" ht="15">
      <c r="C268" s="6"/>
      <c r="D268" s="6"/>
      <c r="E268" s="6"/>
      <c r="F268" s="6"/>
      <c r="G268" s="6"/>
      <c r="H268" s="6"/>
      <c r="I268" s="6"/>
      <c r="J268" s="6"/>
      <c r="K268" s="6"/>
      <c r="L268" s="6"/>
      <c r="M268" s="6"/>
      <c r="N268" s="6"/>
      <c r="O268" s="6"/>
      <c r="P268" s="6"/>
      <c r="Q268" s="6"/>
      <c r="R268" s="6"/>
      <c r="S268" s="6"/>
    </row>
    <row r="269" spans="3:19" ht="15">
      <c r="C269" s="6"/>
      <c r="D269" s="6"/>
      <c r="E269" s="6"/>
      <c r="F269" s="6"/>
      <c r="G269" s="6"/>
      <c r="H269" s="6"/>
      <c r="I269" s="6"/>
      <c r="J269" s="6"/>
      <c r="K269" s="6"/>
      <c r="L269" s="6"/>
      <c r="M269" s="6"/>
      <c r="N269" s="6"/>
      <c r="O269" s="6"/>
      <c r="P269" s="6"/>
      <c r="Q269" s="6"/>
      <c r="R269" s="6"/>
      <c r="S269" s="6"/>
    </row>
    <row r="270" spans="3:19" ht="15">
      <c r="C270" s="6"/>
      <c r="D270" s="6"/>
      <c r="E270" s="6"/>
      <c r="F270" s="6"/>
      <c r="G270" s="6"/>
      <c r="H270" s="6"/>
      <c r="I270" s="6"/>
      <c r="J270" s="6"/>
      <c r="K270" s="6"/>
      <c r="L270" s="6"/>
      <c r="M270" s="6"/>
      <c r="N270" s="6"/>
      <c r="O270" s="6"/>
      <c r="P270" s="6"/>
      <c r="Q270" s="6"/>
      <c r="R270" s="6"/>
      <c r="S270" s="6"/>
    </row>
    <row r="271" spans="3:19" ht="15">
      <c r="C271" s="6"/>
      <c r="D271" s="6"/>
      <c r="E271" s="6"/>
      <c r="F271" s="6"/>
      <c r="G271" s="6"/>
      <c r="H271" s="6"/>
      <c r="I271" s="6"/>
      <c r="J271" s="6"/>
      <c r="K271" s="6"/>
      <c r="L271" s="6"/>
      <c r="M271" s="6"/>
      <c r="N271" s="6"/>
      <c r="O271" s="6"/>
      <c r="P271" s="6"/>
      <c r="Q271" s="6"/>
      <c r="R271" s="6"/>
      <c r="S271" s="6"/>
    </row>
    <row r="272" spans="3:19" ht="15">
      <c r="C272" s="6"/>
      <c r="D272" s="6"/>
      <c r="E272" s="6"/>
      <c r="F272" s="6"/>
      <c r="G272" s="6"/>
      <c r="H272" s="6"/>
      <c r="I272" s="6"/>
      <c r="J272" s="6"/>
      <c r="K272" s="6"/>
      <c r="L272" s="6"/>
      <c r="M272" s="6"/>
      <c r="N272" s="6"/>
      <c r="O272" s="6"/>
      <c r="P272" s="6"/>
      <c r="Q272" s="6"/>
      <c r="R272" s="6"/>
      <c r="S272" s="6"/>
    </row>
    <row r="273" spans="3:19" ht="15">
      <c r="C273" s="6"/>
      <c r="D273" s="6"/>
      <c r="E273" s="6"/>
      <c r="F273" s="6"/>
      <c r="G273" s="6"/>
      <c r="H273" s="6"/>
      <c r="I273" s="6"/>
      <c r="J273" s="6"/>
      <c r="K273" s="6"/>
      <c r="L273" s="6"/>
      <c r="M273" s="6"/>
      <c r="N273" s="6"/>
      <c r="O273" s="6"/>
      <c r="P273" s="6"/>
      <c r="Q273" s="6"/>
      <c r="R273" s="6"/>
      <c r="S273" s="6"/>
    </row>
    <row r="274" spans="3:19" ht="15">
      <c r="C274" s="6"/>
      <c r="D274" s="6"/>
      <c r="E274" s="6"/>
      <c r="F274" s="6"/>
      <c r="G274" s="6"/>
      <c r="H274" s="6"/>
      <c r="I274" s="6"/>
      <c r="J274" s="6"/>
      <c r="K274" s="6"/>
      <c r="L274" s="6"/>
      <c r="M274" s="6"/>
      <c r="N274" s="6"/>
      <c r="O274" s="6"/>
      <c r="P274" s="6"/>
      <c r="Q274" s="6"/>
      <c r="R274" s="6"/>
      <c r="S274" s="6"/>
    </row>
    <row r="275" spans="3:19" ht="15">
      <c r="C275" s="6"/>
      <c r="D275" s="6"/>
      <c r="E275" s="6"/>
      <c r="F275" s="6"/>
      <c r="G275" s="6"/>
      <c r="H275" s="6"/>
      <c r="I275" s="6"/>
      <c r="J275" s="6"/>
      <c r="K275" s="6"/>
      <c r="L275" s="6"/>
      <c r="M275" s="6"/>
      <c r="N275" s="6"/>
      <c r="O275" s="6"/>
      <c r="P275" s="6"/>
      <c r="Q275" s="6"/>
      <c r="R275" s="6"/>
      <c r="S275" s="6"/>
    </row>
    <row r="276" spans="3:19" ht="15">
      <c r="C276" s="6"/>
      <c r="D276" s="6"/>
      <c r="E276" s="6"/>
      <c r="F276" s="6"/>
      <c r="G276" s="6"/>
      <c r="H276" s="6"/>
      <c r="I276" s="6"/>
      <c r="J276" s="6"/>
      <c r="K276" s="6"/>
      <c r="L276" s="6"/>
      <c r="M276" s="6"/>
      <c r="N276" s="6"/>
      <c r="O276" s="6"/>
      <c r="P276" s="6"/>
      <c r="Q276" s="6"/>
      <c r="R276" s="6"/>
      <c r="S276" s="6"/>
    </row>
    <row r="277" spans="3:19" ht="15">
      <c r="C277" s="6"/>
      <c r="D277" s="6"/>
      <c r="E277" s="6"/>
      <c r="F277" s="6"/>
      <c r="G277" s="6"/>
      <c r="H277" s="6"/>
      <c r="I277" s="6"/>
      <c r="J277" s="6"/>
      <c r="K277" s="6"/>
      <c r="L277" s="6"/>
      <c r="M277" s="6"/>
      <c r="N277" s="6"/>
      <c r="O277" s="6"/>
      <c r="P277" s="6"/>
      <c r="Q277" s="6"/>
      <c r="R277" s="6"/>
      <c r="S277" s="6"/>
    </row>
    <row r="278" spans="3:19" ht="15">
      <c r="C278" s="6"/>
      <c r="D278" s="6"/>
      <c r="E278" s="6"/>
      <c r="F278" s="6"/>
      <c r="G278" s="6"/>
      <c r="H278" s="6"/>
      <c r="I278" s="6"/>
      <c r="J278" s="6"/>
      <c r="K278" s="6"/>
      <c r="L278" s="6"/>
      <c r="M278" s="6"/>
      <c r="N278" s="6"/>
      <c r="O278" s="6"/>
      <c r="P278" s="6"/>
      <c r="Q278" s="6"/>
      <c r="R278" s="6"/>
      <c r="S278" s="6"/>
    </row>
    <row r="279" spans="3:19" ht="15">
      <c r="C279" s="6"/>
      <c r="D279" s="6"/>
      <c r="E279" s="6"/>
      <c r="F279" s="6"/>
      <c r="G279" s="6"/>
      <c r="H279" s="6"/>
      <c r="I279" s="6"/>
      <c r="J279" s="6"/>
      <c r="K279" s="6"/>
      <c r="L279" s="6"/>
      <c r="M279" s="6"/>
      <c r="N279" s="6"/>
      <c r="O279" s="6"/>
      <c r="P279" s="6"/>
      <c r="Q279" s="6"/>
      <c r="R279" s="6"/>
      <c r="S279" s="6"/>
    </row>
    <row r="280" spans="3:19" ht="15">
      <c r="C280" s="6"/>
      <c r="D280" s="6"/>
      <c r="E280" s="6"/>
      <c r="F280" s="6"/>
      <c r="G280" s="6"/>
      <c r="H280" s="6"/>
      <c r="I280" s="6"/>
      <c r="J280" s="6"/>
      <c r="K280" s="6"/>
      <c r="L280" s="6"/>
      <c r="M280" s="6"/>
      <c r="N280" s="6"/>
      <c r="O280" s="6"/>
      <c r="P280" s="6"/>
      <c r="Q280" s="6"/>
      <c r="R280" s="6"/>
      <c r="S280" s="6"/>
    </row>
    <row r="281" spans="3:19" ht="15">
      <c r="C281" s="6"/>
      <c r="D281" s="6"/>
      <c r="E281" s="6"/>
      <c r="F281" s="6"/>
      <c r="G281" s="6"/>
      <c r="H281" s="6"/>
      <c r="I281" s="6"/>
      <c r="J281" s="6"/>
      <c r="K281" s="6"/>
      <c r="L281" s="6"/>
      <c r="M281" s="6"/>
      <c r="N281" s="6"/>
      <c r="O281" s="6"/>
      <c r="P281" s="6"/>
      <c r="Q281" s="6"/>
      <c r="R281" s="6"/>
      <c r="S281" s="6"/>
    </row>
    <row r="282" spans="3:19" ht="15">
      <c r="C282" s="6"/>
      <c r="D282" s="6"/>
      <c r="E282" s="6"/>
      <c r="F282" s="6"/>
      <c r="G282" s="6"/>
      <c r="H282" s="6"/>
      <c r="I282" s="6"/>
      <c r="J282" s="6"/>
      <c r="K282" s="6"/>
      <c r="L282" s="6"/>
      <c r="M282" s="6"/>
      <c r="N282" s="6"/>
      <c r="O282" s="6"/>
      <c r="P282" s="6"/>
      <c r="Q282" s="6"/>
      <c r="R282" s="6"/>
      <c r="S282" s="6"/>
    </row>
    <row r="283" spans="3:19" ht="15">
      <c r="C283" s="6"/>
      <c r="D283" s="6"/>
      <c r="E283" s="6"/>
      <c r="F283" s="6"/>
      <c r="G283" s="6"/>
      <c r="H283" s="6"/>
      <c r="I283" s="6"/>
      <c r="J283" s="6"/>
      <c r="K283" s="6"/>
      <c r="L283" s="6"/>
      <c r="M283" s="6"/>
      <c r="N283" s="6"/>
      <c r="O283" s="6"/>
      <c r="P283" s="6"/>
      <c r="Q283" s="6"/>
      <c r="R283" s="6"/>
      <c r="S283" s="6"/>
    </row>
    <row r="284" spans="3:19" ht="15">
      <c r="C284" s="6"/>
      <c r="D284" s="6"/>
      <c r="E284" s="6"/>
      <c r="F284" s="6"/>
      <c r="G284" s="6"/>
      <c r="H284" s="6"/>
      <c r="I284" s="6"/>
      <c r="J284" s="6"/>
      <c r="K284" s="6"/>
      <c r="L284" s="6"/>
      <c r="M284" s="6"/>
      <c r="N284" s="6"/>
      <c r="O284" s="6"/>
      <c r="P284" s="6"/>
      <c r="Q284" s="6"/>
      <c r="R284" s="6"/>
      <c r="S284" s="6"/>
    </row>
    <row r="285" spans="3:19" ht="15">
      <c r="C285" s="6"/>
      <c r="D285" s="6"/>
      <c r="E285" s="6"/>
      <c r="F285" s="6"/>
      <c r="G285" s="6"/>
      <c r="H285" s="6"/>
      <c r="I285" s="6"/>
      <c r="J285" s="6"/>
      <c r="K285" s="6"/>
      <c r="L285" s="6"/>
      <c r="M285" s="6"/>
      <c r="N285" s="6"/>
      <c r="O285" s="6"/>
      <c r="P285" s="6"/>
      <c r="Q285" s="6"/>
      <c r="R285" s="6"/>
      <c r="S285" s="6"/>
    </row>
    <row r="286" spans="3:19" ht="15">
      <c r="C286" s="6"/>
      <c r="D286" s="6"/>
      <c r="E286" s="6"/>
      <c r="F286" s="6"/>
      <c r="G286" s="6"/>
      <c r="H286" s="6"/>
      <c r="I286" s="6"/>
      <c r="J286" s="6"/>
      <c r="K286" s="6"/>
      <c r="L286" s="6"/>
      <c r="M286" s="6"/>
      <c r="N286" s="6"/>
      <c r="O286" s="6"/>
      <c r="P286" s="6"/>
      <c r="Q286" s="6"/>
      <c r="R286" s="6"/>
      <c r="S286" s="6"/>
    </row>
    <row r="287" spans="3:19" ht="15">
      <c r="C287" s="6"/>
      <c r="D287" s="6"/>
      <c r="E287" s="6"/>
      <c r="F287" s="6"/>
      <c r="G287" s="6"/>
      <c r="H287" s="6"/>
      <c r="I287" s="6"/>
      <c r="J287" s="6"/>
      <c r="K287" s="6"/>
      <c r="L287" s="6"/>
      <c r="M287" s="6"/>
      <c r="N287" s="6"/>
      <c r="O287" s="6"/>
      <c r="P287" s="6"/>
      <c r="Q287" s="6"/>
      <c r="R287" s="6"/>
      <c r="S287" s="6"/>
    </row>
    <row r="288" spans="3:19" ht="15">
      <c r="C288" s="6"/>
      <c r="D288" s="6"/>
      <c r="E288" s="6"/>
      <c r="F288" s="6"/>
      <c r="G288" s="6"/>
      <c r="H288" s="6"/>
      <c r="I288" s="6"/>
      <c r="J288" s="6"/>
      <c r="K288" s="6"/>
      <c r="L288" s="6"/>
      <c r="M288" s="6"/>
      <c r="N288" s="6"/>
      <c r="O288" s="6"/>
      <c r="P288" s="6"/>
      <c r="Q288" s="6"/>
      <c r="R288" s="6"/>
      <c r="S288" s="6"/>
    </row>
    <row r="289" spans="3:19" ht="15">
      <c r="C289" s="6"/>
      <c r="D289" s="6"/>
      <c r="E289" s="6"/>
      <c r="F289" s="6"/>
      <c r="G289" s="6"/>
      <c r="H289" s="6"/>
      <c r="I289" s="6"/>
      <c r="J289" s="6"/>
      <c r="K289" s="6"/>
      <c r="L289" s="6"/>
      <c r="M289" s="6"/>
      <c r="N289" s="6"/>
      <c r="O289" s="6"/>
      <c r="P289" s="6"/>
      <c r="Q289" s="6"/>
      <c r="R289" s="6"/>
      <c r="S289" s="6"/>
    </row>
    <row r="290" spans="3:19" ht="15">
      <c r="C290" s="6"/>
      <c r="D290" s="6"/>
      <c r="E290" s="6"/>
      <c r="F290" s="6"/>
      <c r="G290" s="6"/>
      <c r="H290" s="6"/>
      <c r="I290" s="6"/>
      <c r="J290" s="6"/>
      <c r="K290" s="6"/>
      <c r="L290" s="6"/>
      <c r="M290" s="6"/>
      <c r="N290" s="6"/>
      <c r="O290" s="6"/>
      <c r="P290" s="6"/>
      <c r="Q290" s="6"/>
      <c r="R290" s="6"/>
      <c r="S290" s="6"/>
    </row>
    <row r="291" spans="3:19" ht="15">
      <c r="C291" s="6"/>
      <c r="D291" s="6"/>
      <c r="E291" s="6"/>
      <c r="F291" s="6"/>
      <c r="G291" s="6"/>
      <c r="H291" s="6"/>
      <c r="I291" s="6"/>
      <c r="J291" s="6"/>
      <c r="K291" s="6"/>
      <c r="L291" s="6"/>
      <c r="M291" s="6"/>
      <c r="N291" s="6"/>
      <c r="O291" s="6"/>
      <c r="P291" s="6"/>
      <c r="Q291" s="6"/>
      <c r="R291" s="6"/>
      <c r="S291" s="6"/>
    </row>
    <row r="292" spans="3:19" ht="15">
      <c r="C292" s="6"/>
      <c r="D292" s="6"/>
      <c r="E292" s="6"/>
      <c r="F292" s="6"/>
      <c r="G292" s="6"/>
      <c r="H292" s="6"/>
      <c r="I292" s="6"/>
      <c r="J292" s="6"/>
      <c r="K292" s="6"/>
      <c r="L292" s="6"/>
      <c r="M292" s="6"/>
      <c r="N292" s="6"/>
      <c r="O292" s="6"/>
      <c r="P292" s="6"/>
      <c r="Q292" s="6"/>
      <c r="R292" s="6"/>
      <c r="S292" s="6"/>
    </row>
    <row r="293" spans="3:19" ht="15">
      <c r="C293" s="6"/>
      <c r="D293" s="6"/>
      <c r="E293" s="6"/>
      <c r="F293" s="6"/>
      <c r="G293" s="6"/>
      <c r="H293" s="6"/>
      <c r="I293" s="6"/>
      <c r="J293" s="6"/>
      <c r="K293" s="6"/>
      <c r="L293" s="6"/>
      <c r="M293" s="6"/>
      <c r="N293" s="6"/>
      <c r="O293" s="6"/>
      <c r="P293" s="6"/>
      <c r="Q293" s="6"/>
      <c r="R293" s="6"/>
      <c r="S293" s="6"/>
    </row>
    <row r="294" spans="3:19" ht="15">
      <c r="C294" s="6"/>
      <c r="D294" s="6"/>
      <c r="E294" s="6"/>
      <c r="F294" s="6"/>
      <c r="G294" s="6"/>
      <c r="H294" s="6"/>
      <c r="I294" s="6"/>
      <c r="J294" s="6"/>
      <c r="K294" s="6"/>
      <c r="L294" s="6"/>
      <c r="M294" s="6"/>
      <c r="N294" s="6"/>
      <c r="O294" s="6"/>
      <c r="P294" s="6"/>
      <c r="Q294" s="6"/>
      <c r="R294" s="6"/>
      <c r="S294" s="6"/>
    </row>
    <row r="295" spans="3:19" ht="15">
      <c r="C295" s="6"/>
      <c r="D295" s="6"/>
      <c r="E295" s="6"/>
      <c r="F295" s="6"/>
      <c r="G295" s="6"/>
      <c r="H295" s="6"/>
      <c r="I295" s="6"/>
      <c r="J295" s="6"/>
      <c r="K295" s="6"/>
      <c r="L295" s="6"/>
      <c r="M295" s="6"/>
      <c r="N295" s="6"/>
      <c r="O295" s="6"/>
      <c r="P295" s="6"/>
      <c r="Q295" s="6"/>
      <c r="R295" s="6"/>
      <c r="S295" s="6"/>
    </row>
    <row r="296" spans="3:19" ht="15">
      <c r="C296" s="6"/>
      <c r="D296" s="6"/>
      <c r="E296" s="6"/>
      <c r="F296" s="6"/>
      <c r="G296" s="6"/>
      <c r="H296" s="6"/>
      <c r="I296" s="6"/>
      <c r="J296" s="6"/>
      <c r="K296" s="6"/>
      <c r="L296" s="6"/>
      <c r="M296" s="6"/>
      <c r="N296" s="6"/>
      <c r="O296" s="6"/>
      <c r="P296" s="6"/>
      <c r="Q296" s="6"/>
      <c r="R296" s="6"/>
      <c r="S296" s="6"/>
    </row>
    <row r="297" spans="3:19" ht="15">
      <c r="C297" s="6"/>
      <c r="D297" s="6"/>
      <c r="E297" s="6"/>
      <c r="F297" s="6"/>
      <c r="G297" s="6"/>
      <c r="H297" s="6"/>
      <c r="I297" s="6"/>
      <c r="J297" s="6"/>
      <c r="K297" s="6"/>
      <c r="L297" s="6"/>
      <c r="M297" s="6"/>
      <c r="N297" s="6"/>
      <c r="O297" s="6"/>
      <c r="P297" s="6"/>
      <c r="Q297" s="6"/>
      <c r="R297" s="6"/>
      <c r="S297" s="6"/>
    </row>
    <row r="298" spans="3:19" ht="15">
      <c r="C298" s="6"/>
      <c r="D298" s="6"/>
      <c r="E298" s="6"/>
      <c r="F298" s="6"/>
      <c r="G298" s="6"/>
      <c r="H298" s="6"/>
      <c r="I298" s="6"/>
      <c r="J298" s="6"/>
      <c r="K298" s="6"/>
      <c r="L298" s="6"/>
      <c r="M298" s="6"/>
      <c r="N298" s="6"/>
      <c r="O298" s="6"/>
      <c r="P298" s="6"/>
      <c r="Q298" s="6"/>
      <c r="R298" s="6"/>
      <c r="S298" s="6"/>
    </row>
    <row r="299" spans="3:19" ht="15">
      <c r="C299" s="6"/>
      <c r="D299" s="6"/>
      <c r="E299" s="6"/>
      <c r="F299" s="6"/>
      <c r="G299" s="6"/>
      <c r="H299" s="6"/>
      <c r="I299" s="6"/>
      <c r="J299" s="6"/>
      <c r="K299" s="6"/>
      <c r="L299" s="6"/>
      <c r="M299" s="6"/>
      <c r="N299" s="6"/>
      <c r="O299" s="6"/>
      <c r="P299" s="6"/>
      <c r="Q299" s="6"/>
      <c r="R299" s="6"/>
      <c r="S299" s="6"/>
    </row>
    <row r="300" spans="3:19" ht="15">
      <c r="C300" s="6"/>
      <c r="D300" s="6"/>
      <c r="E300" s="6"/>
      <c r="F300" s="6"/>
      <c r="G300" s="6"/>
      <c r="H300" s="6"/>
      <c r="I300" s="6"/>
      <c r="J300" s="6"/>
      <c r="K300" s="6"/>
      <c r="L300" s="6"/>
      <c r="M300" s="6"/>
      <c r="N300" s="6"/>
      <c r="O300" s="6"/>
      <c r="P300" s="6"/>
      <c r="Q300" s="6"/>
      <c r="R300" s="6"/>
      <c r="S300" s="6"/>
    </row>
    <row r="301" spans="3:19" ht="15">
      <c r="C301" s="6"/>
      <c r="D301" s="6"/>
      <c r="E301" s="6"/>
      <c r="F301" s="6"/>
      <c r="G301" s="6"/>
      <c r="H301" s="6"/>
      <c r="I301" s="6"/>
      <c r="J301" s="6"/>
      <c r="K301" s="6"/>
      <c r="L301" s="6"/>
      <c r="M301" s="6"/>
      <c r="N301" s="6"/>
      <c r="O301" s="6"/>
      <c r="P301" s="6"/>
      <c r="Q301" s="6"/>
      <c r="R301" s="6"/>
      <c r="S301" s="6"/>
    </row>
    <row r="302" spans="3:19" ht="15">
      <c r="C302" s="6"/>
      <c r="D302" s="6"/>
      <c r="E302" s="6"/>
      <c r="F302" s="6"/>
      <c r="G302" s="6"/>
      <c r="H302" s="6"/>
      <c r="I302" s="6"/>
      <c r="J302" s="6"/>
      <c r="K302" s="6"/>
      <c r="L302" s="6"/>
      <c r="M302" s="6"/>
      <c r="N302" s="6"/>
      <c r="O302" s="6"/>
      <c r="P302" s="6"/>
      <c r="Q302" s="6"/>
      <c r="R302" s="6"/>
      <c r="S302" s="6"/>
    </row>
    <row r="303" spans="3:19" ht="15">
      <c r="C303" s="6"/>
      <c r="D303" s="6"/>
      <c r="E303" s="6"/>
      <c r="F303" s="6"/>
      <c r="G303" s="6"/>
      <c r="H303" s="6"/>
      <c r="I303" s="6"/>
      <c r="J303" s="6"/>
      <c r="K303" s="6"/>
      <c r="L303" s="6"/>
      <c r="M303" s="6"/>
      <c r="N303" s="6"/>
      <c r="O303" s="6"/>
      <c r="P303" s="6"/>
      <c r="Q303" s="6"/>
      <c r="R303" s="6"/>
      <c r="S303" s="6"/>
    </row>
    <row r="304" spans="3:19" ht="15">
      <c r="C304" s="6"/>
      <c r="D304" s="6"/>
      <c r="E304" s="6"/>
      <c r="F304" s="6"/>
      <c r="G304" s="6"/>
      <c r="H304" s="6"/>
      <c r="I304" s="6"/>
      <c r="J304" s="6"/>
      <c r="K304" s="6"/>
      <c r="L304" s="6"/>
      <c r="M304" s="6"/>
      <c r="N304" s="6"/>
      <c r="O304" s="6"/>
      <c r="P304" s="6"/>
      <c r="Q304" s="6"/>
      <c r="R304" s="6"/>
      <c r="S304" s="6"/>
    </row>
    <row r="305" spans="3:19" ht="15">
      <c r="C305" s="6"/>
      <c r="D305" s="6"/>
      <c r="E305" s="6"/>
      <c r="F305" s="6"/>
      <c r="G305" s="6"/>
      <c r="H305" s="6"/>
      <c r="I305" s="6"/>
      <c r="J305" s="6"/>
      <c r="K305" s="6"/>
      <c r="L305" s="6"/>
      <c r="M305" s="6"/>
      <c r="N305" s="6"/>
      <c r="O305" s="6"/>
      <c r="P305" s="6"/>
      <c r="Q305" s="6"/>
      <c r="R305" s="6"/>
      <c r="S305" s="6"/>
    </row>
    <row r="306" spans="3:19" ht="15">
      <c r="C306" s="6"/>
      <c r="D306" s="6"/>
      <c r="E306" s="6"/>
      <c r="F306" s="6"/>
      <c r="G306" s="6"/>
      <c r="H306" s="6"/>
      <c r="I306" s="6"/>
      <c r="J306" s="6"/>
      <c r="K306" s="6"/>
      <c r="L306" s="6"/>
      <c r="M306" s="6"/>
      <c r="N306" s="6"/>
      <c r="O306" s="6"/>
      <c r="P306" s="6"/>
      <c r="Q306" s="6"/>
      <c r="R306" s="6"/>
      <c r="S306" s="6"/>
    </row>
    <row r="307" spans="3:19" ht="15">
      <c r="C307" s="6"/>
      <c r="D307" s="6"/>
      <c r="E307" s="6"/>
      <c r="F307" s="6"/>
      <c r="G307" s="6"/>
      <c r="H307" s="6"/>
      <c r="I307" s="6"/>
      <c r="J307" s="6"/>
      <c r="K307" s="6"/>
      <c r="L307" s="6"/>
      <c r="M307" s="6"/>
      <c r="N307" s="6"/>
      <c r="O307" s="6"/>
      <c r="P307" s="6"/>
      <c r="Q307" s="6"/>
      <c r="R307" s="6"/>
      <c r="S307" s="6"/>
    </row>
    <row r="308" spans="3:19" ht="15">
      <c r="C308" s="6"/>
      <c r="D308" s="6"/>
      <c r="E308" s="6"/>
      <c r="F308" s="6"/>
      <c r="G308" s="6"/>
      <c r="H308" s="6"/>
      <c r="I308" s="6"/>
      <c r="J308" s="6"/>
      <c r="K308" s="6"/>
      <c r="L308" s="6"/>
      <c r="M308" s="6"/>
      <c r="N308" s="6"/>
      <c r="O308" s="6"/>
      <c r="P308" s="6"/>
      <c r="Q308" s="6"/>
      <c r="R308" s="6"/>
      <c r="S308" s="6"/>
    </row>
    <row r="309" spans="3:19" ht="15">
      <c r="C309" s="6"/>
      <c r="D309" s="6"/>
      <c r="E309" s="6"/>
      <c r="F309" s="6"/>
      <c r="G309" s="6"/>
      <c r="H309" s="6"/>
      <c r="I309" s="6"/>
      <c r="J309" s="6"/>
      <c r="K309" s="6"/>
      <c r="L309" s="6"/>
      <c r="M309" s="6"/>
      <c r="N309" s="6"/>
      <c r="O309" s="6"/>
      <c r="P309" s="6"/>
      <c r="Q309" s="6"/>
      <c r="R309" s="6"/>
      <c r="S309" s="6"/>
    </row>
    <row r="310" spans="3:19" ht="15">
      <c r="C310" s="6"/>
      <c r="D310" s="6"/>
      <c r="E310" s="6"/>
      <c r="F310" s="6"/>
      <c r="G310" s="6"/>
      <c r="H310" s="6"/>
      <c r="I310" s="6"/>
      <c r="J310" s="6"/>
      <c r="K310" s="6"/>
      <c r="L310" s="6"/>
      <c r="M310" s="6"/>
      <c r="N310" s="6"/>
      <c r="O310" s="6"/>
      <c r="P310" s="6"/>
      <c r="Q310" s="6"/>
      <c r="R310" s="6"/>
      <c r="S310" s="6"/>
    </row>
    <row r="311" spans="3:19" ht="15">
      <c r="C311" s="6"/>
      <c r="D311" s="6"/>
      <c r="E311" s="6"/>
      <c r="F311" s="6"/>
      <c r="G311" s="6"/>
      <c r="H311" s="6"/>
      <c r="I311" s="6"/>
      <c r="J311" s="6"/>
      <c r="K311" s="6"/>
      <c r="L311" s="6"/>
      <c r="M311" s="6"/>
      <c r="N311" s="6"/>
      <c r="O311" s="6"/>
      <c r="P311" s="6"/>
      <c r="Q311" s="6"/>
      <c r="R311" s="6"/>
      <c r="S311" s="6"/>
    </row>
    <row r="312" spans="3:19" ht="15">
      <c r="C312" s="6"/>
      <c r="D312" s="6"/>
      <c r="E312" s="6"/>
      <c r="F312" s="6"/>
      <c r="G312" s="6"/>
      <c r="H312" s="6"/>
      <c r="I312" s="6"/>
      <c r="J312" s="6"/>
      <c r="K312" s="6"/>
      <c r="L312" s="6"/>
      <c r="M312" s="6"/>
      <c r="N312" s="6"/>
      <c r="O312" s="6"/>
      <c r="P312" s="6"/>
      <c r="Q312" s="6"/>
      <c r="R312" s="6"/>
      <c r="S312" s="6"/>
    </row>
    <row r="313" spans="3:19" ht="15">
      <c r="C313" s="6"/>
      <c r="D313" s="6"/>
      <c r="E313" s="6"/>
      <c r="F313" s="6"/>
      <c r="G313" s="6"/>
      <c r="H313" s="6"/>
      <c r="I313" s="6"/>
      <c r="J313" s="6"/>
      <c r="K313" s="6"/>
      <c r="L313" s="6"/>
      <c r="M313" s="6"/>
      <c r="N313" s="6"/>
      <c r="O313" s="6"/>
      <c r="P313" s="6"/>
      <c r="Q313" s="6"/>
      <c r="R313" s="6"/>
      <c r="S313" s="6"/>
    </row>
    <row r="314" spans="3:19" ht="15">
      <c r="C314" s="6"/>
      <c r="D314" s="6"/>
      <c r="E314" s="6"/>
      <c r="F314" s="6"/>
      <c r="G314" s="6"/>
      <c r="H314" s="6"/>
      <c r="I314" s="6"/>
      <c r="J314" s="6"/>
      <c r="K314" s="6"/>
      <c r="L314" s="6"/>
      <c r="M314" s="6"/>
      <c r="N314" s="6"/>
      <c r="O314" s="6"/>
      <c r="P314" s="6"/>
      <c r="Q314" s="6"/>
      <c r="R314" s="6"/>
      <c r="S314" s="6"/>
    </row>
    <row r="315" spans="3:19" ht="15">
      <c r="C315" s="6"/>
      <c r="D315" s="6"/>
      <c r="E315" s="6"/>
      <c r="F315" s="6"/>
      <c r="G315" s="6"/>
      <c r="H315" s="6"/>
      <c r="I315" s="6"/>
      <c r="J315" s="6"/>
      <c r="K315" s="6"/>
      <c r="L315" s="6"/>
      <c r="M315" s="6"/>
      <c r="N315" s="6"/>
      <c r="O315" s="6"/>
      <c r="P315" s="6"/>
      <c r="Q315" s="6"/>
      <c r="R315" s="6"/>
      <c r="S315" s="6"/>
    </row>
    <row r="316" spans="3:19" ht="15">
      <c r="C316" s="6"/>
      <c r="D316" s="6"/>
      <c r="E316" s="6"/>
      <c r="F316" s="6"/>
      <c r="G316" s="6"/>
      <c r="H316" s="6"/>
      <c r="I316" s="6"/>
      <c r="J316" s="6"/>
      <c r="K316" s="6"/>
      <c r="L316" s="6"/>
      <c r="M316" s="6"/>
      <c r="N316" s="6"/>
      <c r="O316" s="6"/>
      <c r="P316" s="6"/>
      <c r="Q316" s="6"/>
      <c r="R316" s="6"/>
      <c r="S316" s="6"/>
    </row>
    <row r="317" spans="4:19" ht="15">
      <c r="D317" s="6"/>
      <c r="E317" s="6"/>
      <c r="F317" s="6"/>
      <c r="G317" s="6"/>
      <c r="H317" s="6"/>
      <c r="I317" s="6"/>
      <c r="J317" s="6"/>
      <c r="K317" s="6"/>
      <c r="L317" s="6"/>
      <c r="M317" s="6"/>
      <c r="N317" s="6"/>
      <c r="O317" s="6"/>
      <c r="P317" s="6"/>
      <c r="Q317" s="6"/>
      <c r="R317" s="6"/>
      <c r="S317" s="6"/>
    </row>
  </sheetData>
  <mergeCells count="22">
    <mergeCell ref="D5:F5"/>
    <mergeCell ref="D1:F1"/>
    <mergeCell ref="D2:F2"/>
    <mergeCell ref="D3:F3"/>
    <mergeCell ref="D6:F6"/>
    <mergeCell ref="D49:F49"/>
    <mergeCell ref="D50:F50"/>
    <mergeCell ref="D51:F51"/>
    <mergeCell ref="D53:F53"/>
    <mergeCell ref="D54:F54"/>
    <mergeCell ref="D106:F106"/>
    <mergeCell ref="D107:F107"/>
    <mergeCell ref="D108:F108"/>
    <mergeCell ref="D110:F110"/>
    <mergeCell ref="D111:F111"/>
    <mergeCell ref="D113:F113"/>
    <mergeCell ref="D174:F174"/>
    <mergeCell ref="D176:F176"/>
    <mergeCell ref="D169:F169"/>
    <mergeCell ref="D170:F170"/>
    <mergeCell ref="D171:F171"/>
    <mergeCell ref="D173:F173"/>
  </mergeCells>
  <printOptions horizontalCentered="1"/>
  <pageMargins left="0.57" right="0.3" top="0.77" bottom="0.75" header="0.5" footer="0.5"/>
  <pageSetup fitToHeight="6" horizontalDpi="300" verticalDpi="300" orientation="portrait" scale="51" r:id="rId1"/>
  <headerFooter alignWithMargins="0">
    <oddFooter>&amp;L&amp;D&amp;R&amp;F, &amp;A</oddFooter>
  </headerFooter>
  <rowBreaks count="3" manualBreakCount="3">
    <brk id="48" max="255" man="1"/>
    <brk id="105" max="255" man="1"/>
    <brk id="168" max="255" man="1"/>
  </rowBreaks>
</worksheet>
</file>

<file path=xl/worksheets/sheet4.xml><?xml version="1.0" encoding="utf-8"?>
<worksheet xmlns="http://schemas.openxmlformats.org/spreadsheetml/2006/main" xmlns:r="http://schemas.openxmlformats.org/officeDocument/2006/relationships">
  <dimension ref="A1:AP113"/>
  <sheetViews>
    <sheetView view="pageBreakPreview" zoomScale="60" zoomScaleNormal="50" workbookViewId="0" topLeftCell="A1">
      <selection activeCell="C12" sqref="C12"/>
    </sheetView>
  </sheetViews>
  <sheetFormatPr defaultColWidth="8.88671875" defaultRowHeight="15"/>
  <cols>
    <col min="1" max="1" width="3.6640625" style="144" customWidth="1"/>
    <col min="2" max="2" width="7.5546875" style="144" customWidth="1"/>
    <col min="3" max="3" width="19.99609375" style="144" customWidth="1"/>
    <col min="4" max="4" width="2.10546875" style="144" customWidth="1"/>
    <col min="5" max="5" width="12.5546875" style="144" customWidth="1"/>
    <col min="6" max="6" width="14.5546875" style="144" customWidth="1"/>
    <col min="7" max="9" width="11.4453125" style="144" customWidth="1"/>
    <col min="10" max="10" width="12.3359375" style="144" customWidth="1"/>
    <col min="11" max="11" width="12.77734375" style="144" customWidth="1"/>
    <col min="12" max="20" width="11.4453125" style="144" customWidth="1"/>
    <col min="21" max="21" width="12.77734375" style="144" bestFit="1" customWidth="1"/>
    <col min="22" max="22" width="6.99609375" style="144" customWidth="1"/>
    <col min="23" max="16384" width="8.88671875" style="144" customWidth="1"/>
  </cols>
  <sheetData>
    <row r="1" spans="1:23" ht="21">
      <c r="A1" s="274" t="s">
        <v>35</v>
      </c>
      <c r="C1" s="272"/>
      <c r="D1" s="137"/>
      <c r="E1" s="137"/>
      <c r="F1" s="137"/>
      <c r="G1" s="137"/>
      <c r="H1" s="137"/>
      <c r="I1" s="137"/>
      <c r="J1" s="137"/>
      <c r="K1" s="137"/>
      <c r="L1" s="374" t="s">
        <v>665</v>
      </c>
      <c r="M1" s="174"/>
      <c r="N1" s="174"/>
      <c r="O1" s="174"/>
      <c r="P1" s="174"/>
      <c r="Q1" s="174"/>
      <c r="R1" s="174"/>
      <c r="S1" s="174"/>
      <c r="T1" s="174"/>
      <c r="U1" s="174"/>
      <c r="V1" s="137"/>
      <c r="W1" s="137"/>
    </row>
    <row r="2" spans="1:23" ht="21">
      <c r="A2" s="137"/>
      <c r="B2" s="274"/>
      <c r="C2" s="272"/>
      <c r="D2" s="137"/>
      <c r="E2" s="137"/>
      <c r="F2" s="137"/>
      <c r="G2" s="137"/>
      <c r="H2" s="137"/>
      <c r="I2" s="137"/>
      <c r="J2" s="137"/>
      <c r="K2" s="137"/>
      <c r="L2" s="374" t="s">
        <v>72</v>
      </c>
      <c r="M2" s="174"/>
      <c r="N2" s="174"/>
      <c r="O2" s="174"/>
      <c r="P2" s="174"/>
      <c r="Q2" s="174"/>
      <c r="R2" s="174"/>
      <c r="S2" s="174"/>
      <c r="T2" s="174"/>
      <c r="U2" s="371" t="s">
        <v>811</v>
      </c>
      <c r="V2" s="137"/>
      <c r="W2" s="137"/>
    </row>
    <row r="3" spans="1:23" ht="21">
      <c r="A3" s="137"/>
      <c r="B3" s="274"/>
      <c r="C3" s="272"/>
      <c r="D3" s="137"/>
      <c r="E3" s="137"/>
      <c r="F3" s="137"/>
      <c r="G3" s="137"/>
      <c r="H3" s="137"/>
      <c r="I3" s="137"/>
      <c r="J3" s="137"/>
      <c r="K3" s="137"/>
      <c r="L3" s="374"/>
      <c r="M3" s="174"/>
      <c r="N3" s="174"/>
      <c r="O3" s="174"/>
      <c r="P3" s="174"/>
      <c r="Q3" s="174"/>
      <c r="R3" s="174"/>
      <c r="S3" s="174"/>
      <c r="T3" s="174"/>
      <c r="U3" s="371"/>
      <c r="V3" s="137"/>
      <c r="W3" s="137"/>
    </row>
    <row r="4" spans="1:23" ht="21">
      <c r="A4" s="137"/>
      <c r="B4" s="449" t="s">
        <v>759</v>
      </c>
      <c r="C4" s="274" t="s">
        <v>29</v>
      </c>
      <c r="D4" s="368" t="s">
        <v>794</v>
      </c>
      <c r="E4" s="137"/>
      <c r="F4" s="137"/>
      <c r="G4" s="137"/>
      <c r="H4" s="137"/>
      <c r="I4" s="137"/>
      <c r="J4" s="137"/>
      <c r="K4" s="137"/>
      <c r="L4" s="137"/>
      <c r="M4" s="137"/>
      <c r="N4" s="137"/>
      <c r="O4" s="137"/>
      <c r="P4" s="137"/>
      <c r="Q4" s="137"/>
      <c r="R4" s="137"/>
      <c r="S4" s="137"/>
      <c r="T4" s="137"/>
      <c r="U4" s="174"/>
      <c r="V4" s="137"/>
      <c r="W4" s="137"/>
    </row>
    <row r="5" spans="1:23" ht="12.75" customHeight="1">
      <c r="A5" s="137"/>
      <c r="B5" s="137"/>
      <c r="C5" s="137"/>
      <c r="D5" s="137"/>
      <c r="E5" s="137"/>
      <c r="F5" s="137"/>
      <c r="G5" s="137"/>
      <c r="H5" s="137"/>
      <c r="I5" s="137"/>
      <c r="J5" s="137"/>
      <c r="K5" s="137"/>
      <c r="L5" s="271"/>
      <c r="M5" s="272"/>
      <c r="N5" s="272"/>
      <c r="O5" s="137"/>
      <c r="P5" s="137"/>
      <c r="Q5" s="137"/>
      <c r="R5" s="137"/>
      <c r="S5" s="137"/>
      <c r="T5" s="137"/>
      <c r="U5"/>
      <c r="V5" s="137"/>
      <c r="W5" s="137"/>
    </row>
    <row r="6" spans="1:23" ht="12.75">
      <c r="A6" s="137"/>
      <c r="B6" s="137"/>
      <c r="C6" s="137"/>
      <c r="D6" s="137"/>
      <c r="E6" s="137"/>
      <c r="F6" s="138" t="s">
        <v>280</v>
      </c>
      <c r="G6" s="138"/>
      <c r="H6" s="138"/>
      <c r="I6" s="138"/>
      <c r="J6" s="138"/>
      <c r="K6" s="138"/>
      <c r="L6" s="138"/>
      <c r="M6" s="138"/>
      <c r="N6" s="138"/>
      <c r="O6" s="138"/>
      <c r="P6" s="138"/>
      <c r="Q6" s="138"/>
      <c r="R6" s="138"/>
      <c r="S6" s="138"/>
      <c r="T6" s="138"/>
      <c r="U6" s="138"/>
      <c r="V6" s="137"/>
      <c r="W6" s="137"/>
    </row>
    <row r="7" spans="1:23" ht="12.75">
      <c r="A7" s="137"/>
      <c r="B7" s="137" t="s">
        <v>281</v>
      </c>
      <c r="C7" s="137"/>
      <c r="D7" s="137"/>
      <c r="E7" s="139" t="s">
        <v>282</v>
      </c>
      <c r="F7" s="139" t="s">
        <v>283</v>
      </c>
      <c r="G7" s="139" t="s">
        <v>284</v>
      </c>
      <c r="H7" s="139" t="s">
        <v>285</v>
      </c>
      <c r="I7" s="139" t="s">
        <v>286</v>
      </c>
      <c r="J7" s="139" t="s">
        <v>287</v>
      </c>
      <c r="K7" s="139" t="s">
        <v>288</v>
      </c>
      <c r="L7" s="139" t="s">
        <v>289</v>
      </c>
      <c r="M7" s="139" t="s">
        <v>290</v>
      </c>
      <c r="N7" s="139" t="s">
        <v>291</v>
      </c>
      <c r="O7" s="139" t="s">
        <v>292</v>
      </c>
      <c r="P7" s="139" t="s">
        <v>293</v>
      </c>
      <c r="Q7" s="139" t="s">
        <v>382</v>
      </c>
      <c r="R7" s="139" t="s">
        <v>294</v>
      </c>
      <c r="S7" s="139" t="s">
        <v>296</v>
      </c>
      <c r="T7" s="139" t="s">
        <v>297</v>
      </c>
      <c r="U7" s="139" t="s">
        <v>298</v>
      </c>
      <c r="V7" s="137"/>
      <c r="W7" s="137"/>
    </row>
    <row r="8" spans="1:23" ht="12.75">
      <c r="A8" s="137"/>
      <c r="B8" s="137" t="s">
        <v>299</v>
      </c>
      <c r="C8" s="137" t="s">
        <v>300</v>
      </c>
      <c r="D8" s="137"/>
      <c r="E8" s="140">
        <f>SUM(F8:U8)</f>
        <v>76591415.14999999</v>
      </c>
      <c r="F8" s="140">
        <f>+F25+F39</f>
        <v>2104093.98</v>
      </c>
      <c r="G8" s="140">
        <f aca="true" t="shared" si="0" ref="G8:U8">+G25+G39</f>
        <v>0</v>
      </c>
      <c r="H8" s="140">
        <f t="shared" si="0"/>
        <v>3019140</v>
      </c>
      <c r="I8" s="140">
        <f t="shared" si="0"/>
        <v>0</v>
      </c>
      <c r="J8" s="140">
        <f t="shared" si="0"/>
        <v>1085247.6</v>
      </c>
      <c r="K8" s="140">
        <f t="shared" si="0"/>
        <v>68402542.97</v>
      </c>
      <c r="L8" s="140">
        <f t="shared" si="0"/>
        <v>0</v>
      </c>
      <c r="M8" s="140">
        <f t="shared" si="0"/>
        <v>14013</v>
      </c>
      <c r="N8" s="140">
        <f t="shared" si="0"/>
        <v>15292.08</v>
      </c>
      <c r="O8" s="140">
        <f t="shared" si="0"/>
        <v>15292.08</v>
      </c>
      <c r="P8" s="140">
        <f t="shared" si="0"/>
        <v>1826517.75</v>
      </c>
      <c r="Q8" s="140">
        <f t="shared" si="0"/>
        <v>3408.25</v>
      </c>
      <c r="R8" s="140">
        <f t="shared" si="0"/>
        <v>17682.44</v>
      </c>
      <c r="S8" s="140">
        <f t="shared" si="0"/>
        <v>15600</v>
      </c>
      <c r="T8" s="140">
        <f t="shared" si="0"/>
        <v>64520</v>
      </c>
      <c r="U8" s="140">
        <f t="shared" si="0"/>
        <v>8065</v>
      </c>
      <c r="V8" s="140" t="s">
        <v>105</v>
      </c>
      <c r="W8" s="137"/>
    </row>
    <row r="9" spans="1:23" ht="12.75">
      <c r="A9" s="137"/>
      <c r="B9" s="137" t="s">
        <v>301</v>
      </c>
      <c r="C9" s="137" t="s">
        <v>302</v>
      </c>
      <c r="D9" s="137"/>
      <c r="E9" s="140">
        <f aca="true" t="shared" si="1" ref="E9:E17">SUM(F9:U9)</f>
        <v>4561900.82</v>
      </c>
      <c r="F9" s="140">
        <f aca="true" t="shared" si="2" ref="F9:U17">+F26+F40</f>
        <v>118091.11</v>
      </c>
      <c r="G9" s="140">
        <f t="shared" si="2"/>
        <v>0</v>
      </c>
      <c r="H9" s="140">
        <f t="shared" si="2"/>
        <v>229740</v>
      </c>
      <c r="I9" s="140">
        <f t="shared" si="2"/>
        <v>268280.64</v>
      </c>
      <c r="J9" s="140">
        <f t="shared" si="2"/>
        <v>0</v>
      </c>
      <c r="K9" s="140">
        <f t="shared" si="2"/>
        <v>3872494.76</v>
      </c>
      <c r="L9" s="140">
        <f t="shared" si="2"/>
        <v>0</v>
      </c>
      <c r="M9" s="140">
        <f t="shared" si="2"/>
        <v>0</v>
      </c>
      <c r="N9" s="140">
        <f t="shared" si="2"/>
        <v>0</v>
      </c>
      <c r="O9" s="140">
        <f t="shared" si="2"/>
        <v>0</v>
      </c>
      <c r="P9" s="140">
        <f t="shared" si="2"/>
        <v>68556.33</v>
      </c>
      <c r="Q9" s="140">
        <f t="shared" si="2"/>
        <v>0</v>
      </c>
      <c r="R9" s="140">
        <f t="shared" si="2"/>
        <v>662.48</v>
      </c>
      <c r="S9" s="140">
        <f t="shared" si="2"/>
        <v>984.23</v>
      </c>
      <c r="T9" s="140">
        <f t="shared" si="2"/>
        <v>2996.9700000000003</v>
      </c>
      <c r="U9" s="140">
        <f t="shared" si="2"/>
        <v>94.3</v>
      </c>
      <c r="V9" s="137"/>
      <c r="W9" s="137"/>
    </row>
    <row r="10" spans="1:23" ht="12.75">
      <c r="A10" s="137"/>
      <c r="B10" s="137" t="s">
        <v>303</v>
      </c>
      <c r="C10" s="137" t="s">
        <v>304</v>
      </c>
      <c r="D10" s="137"/>
      <c r="E10" s="140">
        <f t="shared" si="1"/>
        <v>1666661.92</v>
      </c>
      <c r="F10" s="140">
        <f t="shared" si="2"/>
        <v>52936.3</v>
      </c>
      <c r="G10" s="140">
        <f t="shared" si="2"/>
        <v>0</v>
      </c>
      <c r="H10" s="140">
        <f t="shared" si="2"/>
        <v>0</v>
      </c>
      <c r="I10" s="140">
        <f t="shared" si="2"/>
        <v>0</v>
      </c>
      <c r="J10" s="140">
        <f t="shared" si="2"/>
        <v>0</v>
      </c>
      <c r="K10" s="140">
        <f t="shared" si="2"/>
        <v>1603786.74</v>
      </c>
      <c r="L10" s="140">
        <f t="shared" si="2"/>
        <v>0</v>
      </c>
      <c r="M10" s="140">
        <f t="shared" si="2"/>
        <v>0</v>
      </c>
      <c r="N10" s="140">
        <f t="shared" si="2"/>
        <v>0</v>
      </c>
      <c r="O10" s="140">
        <f t="shared" si="2"/>
        <v>0</v>
      </c>
      <c r="P10" s="140">
        <f t="shared" si="2"/>
        <v>7894</v>
      </c>
      <c r="Q10" s="140">
        <f t="shared" si="2"/>
        <v>0</v>
      </c>
      <c r="R10" s="140">
        <f t="shared" si="2"/>
        <v>-160.48000000000002</v>
      </c>
      <c r="S10" s="140">
        <f t="shared" si="2"/>
        <v>378.88</v>
      </c>
      <c r="T10" s="140">
        <f t="shared" si="2"/>
        <v>1623.44</v>
      </c>
      <c r="U10" s="140">
        <f t="shared" si="2"/>
        <v>203.04</v>
      </c>
      <c r="V10" s="137"/>
      <c r="W10" s="137"/>
    </row>
    <row r="11" spans="1:23" ht="12.75">
      <c r="A11" s="137"/>
      <c r="B11" s="137" t="s">
        <v>305</v>
      </c>
      <c r="C11" s="137" t="s">
        <v>306</v>
      </c>
      <c r="D11" s="137"/>
      <c r="E11" s="140">
        <f t="shared" si="1"/>
        <v>416702.62</v>
      </c>
      <c r="F11" s="140">
        <f t="shared" si="2"/>
        <v>13234.07</v>
      </c>
      <c r="G11" s="140">
        <f t="shared" si="2"/>
        <v>0</v>
      </c>
      <c r="H11" s="140">
        <f t="shared" si="2"/>
        <v>0</v>
      </c>
      <c r="I11" s="140">
        <f t="shared" si="2"/>
        <v>0</v>
      </c>
      <c r="J11" s="140">
        <f t="shared" si="2"/>
        <v>0</v>
      </c>
      <c r="K11" s="140">
        <f t="shared" si="2"/>
        <v>400984.23</v>
      </c>
      <c r="L11" s="140">
        <f t="shared" si="2"/>
        <v>0</v>
      </c>
      <c r="M11" s="140">
        <f t="shared" si="2"/>
        <v>0</v>
      </c>
      <c r="N11" s="140">
        <f t="shared" si="2"/>
        <v>0</v>
      </c>
      <c r="O11" s="140">
        <f t="shared" si="2"/>
        <v>0</v>
      </c>
      <c r="P11" s="140">
        <f t="shared" si="2"/>
        <v>1973.5</v>
      </c>
      <c r="Q11" s="140">
        <f t="shared" si="2"/>
        <v>0</v>
      </c>
      <c r="R11" s="140">
        <f t="shared" si="2"/>
        <v>-40.21</v>
      </c>
      <c r="S11" s="140">
        <f t="shared" si="2"/>
        <v>94.75999999999999</v>
      </c>
      <c r="T11" s="140">
        <f t="shared" si="2"/>
        <v>405.62</v>
      </c>
      <c r="U11" s="140">
        <f t="shared" si="2"/>
        <v>50.65</v>
      </c>
      <c r="V11" s="137"/>
      <c r="W11" s="137"/>
    </row>
    <row r="12" spans="1:23" ht="12.75">
      <c r="A12" s="137"/>
      <c r="B12" s="137" t="s">
        <v>307</v>
      </c>
      <c r="C12" s="137" t="s">
        <v>308</v>
      </c>
      <c r="D12" s="137"/>
      <c r="E12" s="140">
        <f t="shared" si="1"/>
        <v>115092.94</v>
      </c>
      <c r="F12" s="140">
        <f t="shared" si="2"/>
        <v>70861.8</v>
      </c>
      <c r="G12" s="140">
        <f t="shared" si="2"/>
        <v>0</v>
      </c>
      <c r="H12" s="140">
        <f t="shared" si="2"/>
        <v>0</v>
      </c>
      <c r="I12" s="140">
        <f t="shared" si="2"/>
        <v>0</v>
      </c>
      <c r="J12" s="140">
        <f t="shared" si="2"/>
        <v>0</v>
      </c>
      <c r="K12" s="140">
        <f t="shared" si="2"/>
        <v>33997.86</v>
      </c>
      <c r="L12" s="140">
        <f t="shared" si="2"/>
        <v>0</v>
      </c>
      <c r="M12" s="140">
        <f t="shared" si="2"/>
        <v>0</v>
      </c>
      <c r="N12" s="140">
        <f t="shared" si="2"/>
        <v>0</v>
      </c>
      <c r="O12" s="140">
        <f t="shared" si="2"/>
        <v>0</v>
      </c>
      <c r="P12" s="140">
        <f t="shared" si="2"/>
        <v>8462.38</v>
      </c>
      <c r="Q12" s="140">
        <f t="shared" si="2"/>
        <v>0</v>
      </c>
      <c r="R12" s="140">
        <f t="shared" si="2"/>
        <v>0</v>
      </c>
      <c r="S12" s="140">
        <f t="shared" si="2"/>
        <v>0</v>
      </c>
      <c r="T12" s="140">
        <f t="shared" si="2"/>
        <v>1499.31</v>
      </c>
      <c r="U12" s="140">
        <f t="shared" si="2"/>
        <v>271.59000000000003</v>
      </c>
      <c r="V12" s="137"/>
      <c r="W12" s="137"/>
    </row>
    <row r="13" spans="1:23" ht="12.75">
      <c r="A13" s="137"/>
      <c r="B13" s="137" t="s">
        <v>309</v>
      </c>
      <c r="C13" s="137" t="s">
        <v>310</v>
      </c>
      <c r="D13" s="137"/>
      <c r="E13" s="140">
        <f t="shared" si="1"/>
        <v>619029.73</v>
      </c>
      <c r="F13" s="140">
        <f t="shared" si="2"/>
        <v>349877.48</v>
      </c>
      <c r="G13" s="140">
        <f t="shared" si="2"/>
        <v>0</v>
      </c>
      <c r="H13" s="140">
        <f t="shared" si="2"/>
        <v>0</v>
      </c>
      <c r="I13" s="140">
        <f t="shared" si="2"/>
        <v>0</v>
      </c>
      <c r="J13" s="140">
        <f t="shared" si="2"/>
        <v>0</v>
      </c>
      <c r="K13" s="140">
        <f t="shared" si="2"/>
        <v>157978.66</v>
      </c>
      <c r="L13" s="140">
        <f t="shared" si="2"/>
        <v>0</v>
      </c>
      <c r="M13" s="140">
        <f t="shared" si="2"/>
        <v>0</v>
      </c>
      <c r="N13" s="140">
        <f t="shared" si="2"/>
        <v>0</v>
      </c>
      <c r="O13" s="140">
        <f t="shared" si="2"/>
        <v>0</v>
      </c>
      <c r="P13" s="140">
        <f t="shared" si="2"/>
        <v>106787.82</v>
      </c>
      <c r="Q13" s="140">
        <f t="shared" si="2"/>
        <v>0</v>
      </c>
      <c r="R13" s="140">
        <f t="shared" si="2"/>
        <v>0</v>
      </c>
      <c r="S13" s="140">
        <f t="shared" si="2"/>
        <v>0</v>
      </c>
      <c r="T13" s="140">
        <f t="shared" si="2"/>
        <v>4183.1</v>
      </c>
      <c r="U13" s="140">
        <f t="shared" si="2"/>
        <v>202.67000000000002</v>
      </c>
      <c r="V13" s="137"/>
      <c r="W13" s="137"/>
    </row>
    <row r="14" spans="1:23" ht="12.75">
      <c r="A14" s="137"/>
      <c r="B14" s="137" t="s">
        <v>311</v>
      </c>
      <c r="C14" s="137" t="s">
        <v>312</v>
      </c>
      <c r="D14" s="137"/>
      <c r="E14" s="140">
        <f t="shared" si="1"/>
        <v>21155.949999999997</v>
      </c>
      <c r="F14" s="140">
        <f t="shared" si="2"/>
        <v>0</v>
      </c>
      <c r="G14" s="140">
        <f t="shared" si="2"/>
        <v>0</v>
      </c>
      <c r="H14" s="140">
        <f t="shared" si="2"/>
        <v>0</v>
      </c>
      <c r="I14" s="140">
        <f t="shared" si="2"/>
        <v>0</v>
      </c>
      <c r="J14" s="140">
        <f t="shared" si="2"/>
        <v>0</v>
      </c>
      <c r="K14" s="140">
        <f t="shared" si="2"/>
        <v>0</v>
      </c>
      <c r="L14" s="140">
        <f t="shared" si="2"/>
        <v>0</v>
      </c>
      <c r="M14" s="140">
        <f t="shared" si="2"/>
        <v>0</v>
      </c>
      <c r="N14" s="140">
        <f t="shared" si="2"/>
        <v>0</v>
      </c>
      <c r="O14" s="140">
        <f t="shared" si="2"/>
        <v>0</v>
      </c>
      <c r="P14" s="140">
        <f t="shared" si="2"/>
        <v>21155.949999999997</v>
      </c>
      <c r="Q14" s="140">
        <f t="shared" si="2"/>
        <v>0</v>
      </c>
      <c r="R14" s="140">
        <f t="shared" si="2"/>
        <v>0</v>
      </c>
      <c r="S14" s="140">
        <f t="shared" si="2"/>
        <v>0</v>
      </c>
      <c r="T14" s="140">
        <f t="shared" si="2"/>
        <v>0</v>
      </c>
      <c r="U14" s="140">
        <f t="shared" si="2"/>
        <v>0</v>
      </c>
      <c r="V14" s="137"/>
      <c r="W14" s="137"/>
    </row>
    <row r="15" spans="1:23" ht="12.75">
      <c r="A15" s="137"/>
      <c r="B15" s="137" t="s">
        <v>313</v>
      </c>
      <c r="C15" s="137" t="s">
        <v>314</v>
      </c>
      <c r="D15" s="137"/>
      <c r="E15" s="140">
        <f t="shared" si="1"/>
        <v>842568.26</v>
      </c>
      <c r="F15" s="140">
        <f t="shared" si="2"/>
        <v>0</v>
      </c>
      <c r="G15" s="140">
        <f t="shared" si="2"/>
        <v>24168.9</v>
      </c>
      <c r="H15" s="140">
        <f t="shared" si="2"/>
        <v>154611.36</v>
      </c>
      <c r="I15" s="140">
        <f t="shared" si="2"/>
        <v>0</v>
      </c>
      <c r="J15" s="140">
        <f t="shared" si="2"/>
        <v>0</v>
      </c>
      <c r="K15" s="140">
        <f t="shared" si="2"/>
        <v>661118.96</v>
      </c>
      <c r="L15" s="140">
        <f t="shared" si="2"/>
        <v>0</v>
      </c>
      <c r="M15" s="140">
        <f t="shared" si="2"/>
        <v>0</v>
      </c>
      <c r="N15" s="140">
        <f t="shared" si="2"/>
        <v>0</v>
      </c>
      <c r="O15" s="140">
        <f t="shared" si="2"/>
        <v>0</v>
      </c>
      <c r="P15" s="140">
        <f t="shared" si="2"/>
        <v>0</v>
      </c>
      <c r="Q15" s="140">
        <f t="shared" si="2"/>
        <v>0</v>
      </c>
      <c r="R15" s="140">
        <f t="shared" si="2"/>
        <v>0</v>
      </c>
      <c r="S15" s="140">
        <f t="shared" si="2"/>
        <v>0</v>
      </c>
      <c r="T15" s="140">
        <f t="shared" si="2"/>
        <v>0</v>
      </c>
      <c r="U15" s="140">
        <f t="shared" si="2"/>
        <v>2669.04</v>
      </c>
      <c r="V15" s="137"/>
      <c r="W15" s="137"/>
    </row>
    <row r="16" spans="1:23" ht="12.75">
      <c r="A16" s="137"/>
      <c r="B16" s="137" t="s">
        <v>315</v>
      </c>
      <c r="C16" s="137" t="s">
        <v>316</v>
      </c>
      <c r="D16" s="137"/>
      <c r="E16" s="140">
        <f t="shared" si="1"/>
        <v>14599.12</v>
      </c>
      <c r="F16" s="140">
        <f t="shared" si="2"/>
        <v>0</v>
      </c>
      <c r="G16" s="140">
        <f t="shared" si="2"/>
        <v>0</v>
      </c>
      <c r="H16" s="140">
        <f t="shared" si="2"/>
        <v>0</v>
      </c>
      <c r="I16" s="140">
        <f t="shared" si="2"/>
        <v>0</v>
      </c>
      <c r="J16" s="140">
        <f t="shared" si="2"/>
        <v>0</v>
      </c>
      <c r="K16" s="140">
        <f t="shared" si="2"/>
        <v>0</v>
      </c>
      <c r="L16" s="140">
        <f t="shared" si="2"/>
        <v>14599.12</v>
      </c>
      <c r="M16" s="140">
        <f t="shared" si="2"/>
        <v>0</v>
      </c>
      <c r="N16" s="140">
        <f t="shared" si="2"/>
        <v>0</v>
      </c>
      <c r="O16" s="140">
        <f t="shared" si="2"/>
        <v>0</v>
      </c>
      <c r="P16" s="140">
        <f t="shared" si="2"/>
        <v>0</v>
      </c>
      <c r="Q16" s="140">
        <f t="shared" si="2"/>
        <v>0</v>
      </c>
      <c r="R16" s="140">
        <f t="shared" si="2"/>
        <v>0</v>
      </c>
      <c r="S16" s="140">
        <f t="shared" si="2"/>
        <v>0</v>
      </c>
      <c r="T16" s="140">
        <f t="shared" si="2"/>
        <v>0</v>
      </c>
      <c r="U16" s="140">
        <f t="shared" si="2"/>
        <v>0</v>
      </c>
      <c r="V16" s="137"/>
      <c r="W16" s="137"/>
    </row>
    <row r="17" spans="1:23" ht="12.75">
      <c r="A17" s="137"/>
      <c r="B17" s="137" t="s">
        <v>317</v>
      </c>
      <c r="C17" s="137" t="s">
        <v>318</v>
      </c>
      <c r="D17" s="137"/>
      <c r="E17" s="141">
        <f t="shared" si="1"/>
        <v>1742363</v>
      </c>
      <c r="F17" s="142">
        <f>+F34+F48</f>
        <v>0</v>
      </c>
      <c r="G17" s="142">
        <f t="shared" si="2"/>
        <v>0</v>
      </c>
      <c r="H17" s="142">
        <f t="shared" si="2"/>
        <v>229740</v>
      </c>
      <c r="I17" s="142">
        <f t="shared" si="2"/>
        <v>0</v>
      </c>
      <c r="J17" s="142">
        <f t="shared" si="2"/>
        <v>0</v>
      </c>
      <c r="K17" s="142">
        <f t="shared" si="2"/>
        <v>1512623</v>
      </c>
      <c r="L17" s="142">
        <f t="shared" si="2"/>
        <v>0</v>
      </c>
      <c r="M17" s="142">
        <f t="shared" si="2"/>
        <v>0</v>
      </c>
      <c r="N17" s="142">
        <f t="shared" si="2"/>
        <v>0</v>
      </c>
      <c r="O17" s="142">
        <f t="shared" si="2"/>
        <v>0</v>
      </c>
      <c r="P17" s="142">
        <f t="shared" si="2"/>
        <v>0</v>
      </c>
      <c r="Q17" s="142">
        <f t="shared" si="2"/>
        <v>0</v>
      </c>
      <c r="R17" s="142">
        <f t="shared" si="2"/>
        <v>0</v>
      </c>
      <c r="S17" s="142">
        <f t="shared" si="2"/>
        <v>0</v>
      </c>
      <c r="T17" s="142">
        <f t="shared" si="2"/>
        <v>0</v>
      </c>
      <c r="U17" s="142">
        <f t="shared" si="2"/>
        <v>0</v>
      </c>
      <c r="V17" s="137"/>
      <c r="W17" s="137"/>
    </row>
    <row r="18" spans="1:23" ht="12.75">
      <c r="A18" s="137"/>
      <c r="B18" s="137" t="s">
        <v>113</v>
      </c>
      <c r="C18" s="137"/>
      <c r="D18" s="137"/>
      <c r="E18" s="140">
        <f>SUM(E8:E17)</f>
        <v>86591489.51000002</v>
      </c>
      <c r="F18" s="140">
        <f>SUM(F8:F17)</f>
        <v>2709094.7399999993</v>
      </c>
      <c r="G18" s="140">
        <f aca="true" t="shared" si="3" ref="G18:U18">SUM(G8:G17)</f>
        <v>24168.9</v>
      </c>
      <c r="H18" s="140">
        <f t="shared" si="3"/>
        <v>3633231.36</v>
      </c>
      <c r="I18" s="140">
        <f t="shared" si="3"/>
        <v>268280.64</v>
      </c>
      <c r="J18" s="140">
        <f t="shared" si="3"/>
        <v>1085247.6</v>
      </c>
      <c r="K18" s="140">
        <f t="shared" si="3"/>
        <v>76645527.17999999</v>
      </c>
      <c r="L18" s="140">
        <f t="shared" si="3"/>
        <v>14599.12</v>
      </c>
      <c r="M18" s="140">
        <f t="shared" si="3"/>
        <v>14013</v>
      </c>
      <c r="N18" s="140">
        <f t="shared" si="3"/>
        <v>15292.08</v>
      </c>
      <c r="O18" s="140">
        <f t="shared" si="3"/>
        <v>15292.08</v>
      </c>
      <c r="P18" s="140">
        <f t="shared" si="3"/>
        <v>2041347.73</v>
      </c>
      <c r="Q18" s="140">
        <f t="shared" si="3"/>
        <v>3408.25</v>
      </c>
      <c r="R18" s="140">
        <f t="shared" si="3"/>
        <v>18144.23</v>
      </c>
      <c r="S18" s="140">
        <f t="shared" si="3"/>
        <v>17057.87</v>
      </c>
      <c r="T18" s="140">
        <f t="shared" si="3"/>
        <v>75228.44</v>
      </c>
      <c r="U18" s="140">
        <f t="shared" si="3"/>
        <v>11556.29</v>
      </c>
      <c r="V18" s="137"/>
      <c r="W18" s="137"/>
    </row>
    <row r="19" spans="1:23" ht="12.75">
      <c r="A19" s="137"/>
      <c r="B19" s="137" t="s">
        <v>319</v>
      </c>
      <c r="C19" s="137"/>
      <c r="D19" s="137"/>
      <c r="E19" s="140">
        <f>SUM(F19:U19)</f>
        <v>10000074.359999998</v>
      </c>
      <c r="F19" s="140">
        <f aca="true" t="shared" si="4" ref="F19:U19">SUM(F9:F17)</f>
        <v>605000.76</v>
      </c>
      <c r="G19" s="140">
        <f t="shared" si="4"/>
        <v>24168.9</v>
      </c>
      <c r="H19" s="140">
        <f t="shared" si="4"/>
        <v>614091.36</v>
      </c>
      <c r="I19" s="140">
        <f t="shared" si="4"/>
        <v>268280.64</v>
      </c>
      <c r="J19" s="140">
        <f t="shared" si="4"/>
        <v>0</v>
      </c>
      <c r="K19" s="140">
        <f t="shared" si="4"/>
        <v>8242984.210000001</v>
      </c>
      <c r="L19" s="140">
        <f t="shared" si="4"/>
        <v>14599.12</v>
      </c>
      <c r="M19" s="140">
        <f t="shared" si="4"/>
        <v>0</v>
      </c>
      <c r="N19" s="140">
        <f t="shared" si="4"/>
        <v>0</v>
      </c>
      <c r="O19" s="140">
        <f t="shared" si="4"/>
        <v>0</v>
      </c>
      <c r="P19" s="140">
        <f t="shared" si="4"/>
        <v>214829.98000000004</v>
      </c>
      <c r="Q19" s="140">
        <f t="shared" si="4"/>
        <v>0</v>
      </c>
      <c r="R19" s="140">
        <f t="shared" si="4"/>
        <v>461.79</v>
      </c>
      <c r="S19" s="140">
        <f t="shared" si="4"/>
        <v>1457.8700000000001</v>
      </c>
      <c r="T19" s="140">
        <f t="shared" si="4"/>
        <v>10708.44</v>
      </c>
      <c r="U19" s="140">
        <f t="shared" si="4"/>
        <v>3491.29</v>
      </c>
      <c r="V19" s="137"/>
      <c r="W19" s="137"/>
    </row>
    <row r="20" spans="1:23" ht="12.75">
      <c r="A20" s="137"/>
      <c r="B20" s="137" t="s">
        <v>320</v>
      </c>
      <c r="C20" s="137"/>
      <c r="D20" s="137"/>
      <c r="E20" s="142">
        <f>SUM(F20:U20)</f>
        <v>11067189.18</v>
      </c>
      <c r="F20" s="142">
        <f>+F8</f>
        <v>2104093.98</v>
      </c>
      <c r="G20" s="142">
        <f aca="true" t="shared" si="5" ref="G20:U20">+G8</f>
        <v>0</v>
      </c>
      <c r="H20" s="142">
        <f t="shared" si="5"/>
        <v>3019140</v>
      </c>
      <c r="I20" s="142">
        <f t="shared" si="5"/>
        <v>0</v>
      </c>
      <c r="J20" s="142">
        <f t="shared" si="5"/>
        <v>1085247.6</v>
      </c>
      <c r="K20" s="142">
        <f>H100</f>
        <v>2878316.9999999995</v>
      </c>
      <c r="L20" s="142">
        <f t="shared" si="5"/>
        <v>0</v>
      </c>
      <c r="M20" s="142">
        <f t="shared" si="5"/>
        <v>14013</v>
      </c>
      <c r="N20" s="142">
        <f t="shared" si="5"/>
        <v>15292.08</v>
      </c>
      <c r="O20" s="142">
        <f t="shared" si="5"/>
        <v>15292.08</v>
      </c>
      <c r="P20" s="142">
        <f t="shared" si="5"/>
        <v>1826517.75</v>
      </c>
      <c r="Q20" s="142">
        <f t="shared" si="5"/>
        <v>3408.25</v>
      </c>
      <c r="R20" s="142">
        <f t="shared" si="5"/>
        <v>17682.44</v>
      </c>
      <c r="S20" s="142">
        <f t="shared" si="5"/>
        <v>15600</v>
      </c>
      <c r="T20" s="142">
        <f t="shared" si="5"/>
        <v>64520</v>
      </c>
      <c r="U20" s="142">
        <f t="shared" si="5"/>
        <v>8065</v>
      </c>
      <c r="V20" s="137"/>
      <c r="W20" s="137"/>
    </row>
    <row r="21" spans="1:23" ht="12.75">
      <c r="A21" s="137"/>
      <c r="B21" s="266" t="s">
        <v>662</v>
      </c>
      <c r="C21" s="137"/>
      <c r="D21" s="137"/>
      <c r="E21" s="140">
        <f>+E18-E19-E20</f>
        <v>65524225.97000002</v>
      </c>
      <c r="F21" s="140">
        <f>+F18-F19-F20</f>
        <v>0</v>
      </c>
      <c r="G21" s="140">
        <f aca="true" t="shared" si="6" ref="G21:U21">+G18-G19-G20</f>
        <v>0</v>
      </c>
      <c r="H21" s="140">
        <f t="shared" si="6"/>
        <v>0</v>
      </c>
      <c r="I21" s="140">
        <f t="shared" si="6"/>
        <v>0</v>
      </c>
      <c r="J21" s="140">
        <f t="shared" si="6"/>
        <v>0</v>
      </c>
      <c r="K21" s="140">
        <f t="shared" si="6"/>
        <v>65524225.97</v>
      </c>
      <c r="L21" s="140">
        <f t="shared" si="6"/>
        <v>0</v>
      </c>
      <c r="M21" s="140">
        <f t="shared" si="6"/>
        <v>0</v>
      </c>
      <c r="N21" s="140">
        <f t="shared" si="6"/>
        <v>0</v>
      </c>
      <c r="O21" s="140">
        <f t="shared" si="6"/>
        <v>0</v>
      </c>
      <c r="P21" s="140">
        <f t="shared" si="6"/>
        <v>0</v>
      </c>
      <c r="Q21" s="140">
        <f t="shared" si="6"/>
        <v>0</v>
      </c>
      <c r="R21" s="140">
        <f t="shared" si="6"/>
        <v>0</v>
      </c>
      <c r="S21" s="140">
        <f t="shared" si="6"/>
        <v>0</v>
      </c>
      <c r="T21" s="140">
        <f t="shared" si="6"/>
        <v>0</v>
      </c>
      <c r="U21" s="140">
        <f t="shared" si="6"/>
        <v>0</v>
      </c>
      <c r="V21" s="137"/>
      <c r="W21" s="137"/>
    </row>
    <row r="22" spans="1:23" ht="12.75">
      <c r="A22" s="137"/>
      <c r="B22" s="137"/>
      <c r="C22" s="137"/>
      <c r="D22" s="137"/>
      <c r="E22" s="137"/>
      <c r="F22" s="137"/>
      <c r="G22" s="137"/>
      <c r="H22" s="137"/>
      <c r="I22" s="137"/>
      <c r="J22" s="137"/>
      <c r="K22" s="137"/>
      <c r="L22" s="137"/>
      <c r="M22" s="137"/>
      <c r="N22" s="137"/>
      <c r="O22" s="137"/>
      <c r="P22" s="137"/>
      <c r="Q22" s="137"/>
      <c r="R22" s="137"/>
      <c r="S22" s="137"/>
      <c r="T22" s="137"/>
      <c r="U22" s="137"/>
      <c r="V22" s="137"/>
      <c r="W22" s="137"/>
    </row>
    <row r="23" spans="1:23" ht="12.75">
      <c r="A23" s="137"/>
      <c r="B23" s="137"/>
      <c r="C23" s="137"/>
      <c r="D23" s="137"/>
      <c r="E23" s="137"/>
      <c r="F23" s="138" t="s">
        <v>280</v>
      </c>
      <c r="G23" s="138"/>
      <c r="H23" s="138"/>
      <c r="I23" s="138"/>
      <c r="J23" s="138"/>
      <c r="K23" s="138"/>
      <c r="L23" s="138"/>
      <c r="M23" s="138"/>
      <c r="N23" s="138"/>
      <c r="O23" s="138"/>
      <c r="P23" s="138"/>
      <c r="Q23" s="138"/>
      <c r="R23" s="138"/>
      <c r="S23" s="138"/>
      <c r="T23" s="138"/>
      <c r="U23" s="138"/>
      <c r="V23" s="137"/>
      <c r="W23" s="137"/>
    </row>
    <row r="24" spans="1:23" ht="12.75">
      <c r="A24" s="137"/>
      <c r="B24" s="137" t="s">
        <v>321</v>
      </c>
      <c r="C24" s="137"/>
      <c r="D24" s="137"/>
      <c r="E24" s="139" t="s">
        <v>282</v>
      </c>
      <c r="F24" s="139" t="s">
        <v>283</v>
      </c>
      <c r="G24" s="139" t="s">
        <v>284</v>
      </c>
      <c r="H24" s="139" t="s">
        <v>285</v>
      </c>
      <c r="I24" s="139" t="s">
        <v>286</v>
      </c>
      <c r="J24" s="139" t="s">
        <v>287</v>
      </c>
      <c r="K24" s="139" t="s">
        <v>288</v>
      </c>
      <c r="L24" s="139" t="s">
        <v>289</v>
      </c>
      <c r="M24" s="139" t="s">
        <v>290</v>
      </c>
      <c r="N24" s="139" t="s">
        <v>291</v>
      </c>
      <c r="O24" s="139" t="s">
        <v>292</v>
      </c>
      <c r="P24" s="139" t="s">
        <v>293</v>
      </c>
      <c r="Q24" s="139" t="s">
        <v>382</v>
      </c>
      <c r="R24" s="139" t="s">
        <v>294</v>
      </c>
      <c r="S24" s="139" t="s">
        <v>296</v>
      </c>
      <c r="T24" s="139" t="s">
        <v>297</v>
      </c>
      <c r="U24" s="139" t="s">
        <v>298</v>
      </c>
      <c r="V24" s="137"/>
      <c r="W24" s="137"/>
    </row>
    <row r="25" spans="1:23" ht="12.75">
      <c r="A25" s="137"/>
      <c r="B25" s="137" t="s">
        <v>299</v>
      </c>
      <c r="C25" s="137" t="s">
        <v>300</v>
      </c>
      <c r="D25" s="137"/>
      <c r="E25" s="140">
        <f aca="true" t="shared" si="7" ref="E25:E34">SUM(F25:U25)</f>
        <v>40361040.13</v>
      </c>
      <c r="F25" s="477">
        <v>2104093.98</v>
      </c>
      <c r="G25" s="477">
        <v>0</v>
      </c>
      <c r="H25" s="477">
        <v>2514570</v>
      </c>
      <c r="I25" s="477">
        <v>0</v>
      </c>
      <c r="J25" s="477">
        <v>542623.8</v>
      </c>
      <c r="K25" s="477">
        <v>34201271.45</v>
      </c>
      <c r="L25" s="477">
        <v>0</v>
      </c>
      <c r="M25" s="477">
        <v>0</v>
      </c>
      <c r="N25" s="477">
        <v>15292.08</v>
      </c>
      <c r="O25" s="477">
        <v>15292.08</v>
      </c>
      <c r="P25" s="477">
        <v>913258.88</v>
      </c>
      <c r="Q25" s="477">
        <v>1704.13</v>
      </c>
      <c r="R25" s="477">
        <v>8841.23</v>
      </c>
      <c r="S25" s="477">
        <v>7800</v>
      </c>
      <c r="T25" s="477">
        <v>32260</v>
      </c>
      <c r="U25" s="477">
        <v>4032.5</v>
      </c>
      <c r="V25" s="137"/>
      <c r="W25" s="137"/>
    </row>
    <row r="26" spans="1:23" ht="12.75">
      <c r="A26" s="137"/>
      <c r="B26" s="137" t="s">
        <v>301</v>
      </c>
      <c r="C26" s="137" t="s">
        <v>302</v>
      </c>
      <c r="D26" s="137"/>
      <c r="E26" s="140">
        <f t="shared" si="7"/>
        <v>2454865.9500000007</v>
      </c>
      <c r="F26" s="477">
        <v>118091.11</v>
      </c>
      <c r="G26" s="477">
        <v>0</v>
      </c>
      <c r="H26" s="477">
        <v>229740</v>
      </c>
      <c r="I26" s="477">
        <v>134140.32</v>
      </c>
      <c r="J26" s="477">
        <v>0</v>
      </c>
      <c r="K26" s="477">
        <v>1936247.37</v>
      </c>
      <c r="L26" s="477">
        <v>0</v>
      </c>
      <c r="M26" s="477">
        <v>0</v>
      </c>
      <c r="N26" s="477">
        <v>0</v>
      </c>
      <c r="O26" s="477">
        <v>0</v>
      </c>
      <c r="P26" s="477">
        <v>34278.16</v>
      </c>
      <c r="Q26" s="477">
        <v>0</v>
      </c>
      <c r="R26" s="477">
        <v>331.24</v>
      </c>
      <c r="S26" s="477">
        <v>492.12</v>
      </c>
      <c r="T26" s="477">
        <v>1498.48</v>
      </c>
      <c r="U26" s="477">
        <v>47.15</v>
      </c>
      <c r="V26" s="137"/>
      <c r="W26" s="137"/>
    </row>
    <row r="27" spans="1:23" ht="12.75">
      <c r="A27" s="137"/>
      <c r="B27" s="137" t="s">
        <v>303</v>
      </c>
      <c r="C27" s="137" t="s">
        <v>304</v>
      </c>
      <c r="D27" s="137"/>
      <c r="E27" s="140">
        <f t="shared" si="7"/>
        <v>859814.12</v>
      </c>
      <c r="F27" s="477">
        <v>52936.3</v>
      </c>
      <c r="G27" s="477">
        <v>0</v>
      </c>
      <c r="H27" s="477">
        <v>0</v>
      </c>
      <c r="I27" s="477">
        <v>0</v>
      </c>
      <c r="J27" s="477">
        <v>0</v>
      </c>
      <c r="K27" s="477">
        <v>801908.39</v>
      </c>
      <c r="L27" s="477">
        <v>0</v>
      </c>
      <c r="M27" s="477">
        <v>0</v>
      </c>
      <c r="N27" s="477">
        <v>0</v>
      </c>
      <c r="O27" s="477">
        <v>0</v>
      </c>
      <c r="P27" s="477">
        <v>3947</v>
      </c>
      <c r="Q27" s="477">
        <v>0</v>
      </c>
      <c r="R27" s="477">
        <v>-80.25</v>
      </c>
      <c r="S27" s="477">
        <v>189.44</v>
      </c>
      <c r="T27" s="477">
        <v>811.72</v>
      </c>
      <c r="U27" s="477">
        <v>101.52</v>
      </c>
      <c r="V27" s="137"/>
      <c r="W27" s="137"/>
    </row>
    <row r="28" spans="1:23" ht="12.75">
      <c r="A28" s="137"/>
      <c r="B28" s="137" t="s">
        <v>305</v>
      </c>
      <c r="C28" s="137" t="s">
        <v>306</v>
      </c>
      <c r="D28" s="137"/>
      <c r="E28" s="140">
        <f t="shared" si="7"/>
        <v>214953.31</v>
      </c>
      <c r="F28" s="477">
        <v>13234.07</v>
      </c>
      <c r="G28" s="477">
        <v>0</v>
      </c>
      <c r="H28" s="477">
        <v>0</v>
      </c>
      <c r="I28" s="477">
        <v>0</v>
      </c>
      <c r="J28" s="477">
        <v>0</v>
      </c>
      <c r="K28" s="477">
        <v>200477.1</v>
      </c>
      <c r="L28" s="477">
        <v>0</v>
      </c>
      <c r="M28" s="477">
        <v>0</v>
      </c>
      <c r="N28" s="477">
        <v>0</v>
      </c>
      <c r="O28" s="477">
        <v>0</v>
      </c>
      <c r="P28" s="477">
        <v>986.75</v>
      </c>
      <c r="Q28" s="477">
        <v>0</v>
      </c>
      <c r="R28" s="477">
        <v>-20.1</v>
      </c>
      <c r="S28" s="477">
        <v>47.36</v>
      </c>
      <c r="T28" s="477">
        <v>202.81</v>
      </c>
      <c r="U28" s="477">
        <v>25.32</v>
      </c>
      <c r="V28" s="137"/>
      <c r="W28" s="137"/>
    </row>
    <row r="29" spans="1:23" ht="12.75">
      <c r="A29" s="137"/>
      <c r="B29" s="137" t="s">
        <v>307</v>
      </c>
      <c r="C29" s="137" t="s">
        <v>308</v>
      </c>
      <c r="D29" s="137"/>
      <c r="E29" s="140">
        <f t="shared" si="7"/>
        <v>92977.33</v>
      </c>
      <c r="F29" s="477">
        <v>70861.8</v>
      </c>
      <c r="G29" s="477">
        <v>0</v>
      </c>
      <c r="H29" s="477">
        <v>0</v>
      </c>
      <c r="I29" s="477">
        <v>0</v>
      </c>
      <c r="J29" s="477">
        <v>0</v>
      </c>
      <c r="K29" s="477">
        <v>16998.94</v>
      </c>
      <c r="L29" s="477">
        <v>0</v>
      </c>
      <c r="M29" s="477">
        <v>0</v>
      </c>
      <c r="N29" s="477">
        <v>0</v>
      </c>
      <c r="O29" s="477">
        <v>0</v>
      </c>
      <c r="P29" s="477">
        <v>4231.19</v>
      </c>
      <c r="Q29" s="477">
        <v>0</v>
      </c>
      <c r="R29" s="477">
        <v>0</v>
      </c>
      <c r="S29" s="477">
        <v>0</v>
      </c>
      <c r="T29" s="477">
        <v>749.65</v>
      </c>
      <c r="U29" s="477">
        <v>135.75</v>
      </c>
      <c r="V29" s="137"/>
      <c r="W29" s="137"/>
    </row>
    <row r="30" spans="1:23" ht="12.75">
      <c r="A30" s="137"/>
      <c r="B30" s="137" t="s">
        <v>309</v>
      </c>
      <c r="C30" s="137" t="s">
        <v>310</v>
      </c>
      <c r="D30" s="137"/>
      <c r="E30" s="140">
        <f t="shared" si="7"/>
        <v>484453.58999999997</v>
      </c>
      <c r="F30" s="477">
        <v>349877.48</v>
      </c>
      <c r="G30" s="477">
        <v>0</v>
      </c>
      <c r="H30" s="477">
        <v>0</v>
      </c>
      <c r="I30" s="477">
        <v>0</v>
      </c>
      <c r="J30" s="477">
        <v>0</v>
      </c>
      <c r="K30" s="477">
        <v>78989.33</v>
      </c>
      <c r="L30" s="477">
        <v>0</v>
      </c>
      <c r="M30" s="477">
        <v>0</v>
      </c>
      <c r="N30" s="477">
        <v>0</v>
      </c>
      <c r="O30" s="477">
        <v>0</v>
      </c>
      <c r="P30" s="477">
        <v>53393.93</v>
      </c>
      <c r="Q30" s="477">
        <v>0</v>
      </c>
      <c r="R30" s="477">
        <v>0</v>
      </c>
      <c r="S30" s="477">
        <v>0</v>
      </c>
      <c r="T30" s="477">
        <v>2091.54</v>
      </c>
      <c r="U30" s="477">
        <v>101.31</v>
      </c>
      <c r="V30" s="137"/>
      <c r="W30" s="137"/>
    </row>
    <row r="31" spans="1:23" ht="12.75">
      <c r="A31" s="137"/>
      <c r="B31" s="137" t="s">
        <v>311</v>
      </c>
      <c r="C31" s="137" t="s">
        <v>312</v>
      </c>
      <c r="D31" s="137"/>
      <c r="E31" s="140">
        <f t="shared" si="7"/>
        <v>10577.98</v>
      </c>
      <c r="F31" s="477">
        <v>0</v>
      </c>
      <c r="G31" s="477">
        <v>0</v>
      </c>
      <c r="H31" s="477">
        <v>0</v>
      </c>
      <c r="I31" s="477">
        <v>0</v>
      </c>
      <c r="J31" s="477">
        <v>0</v>
      </c>
      <c r="K31" s="477">
        <v>0</v>
      </c>
      <c r="L31" s="477">
        <v>0</v>
      </c>
      <c r="M31" s="477">
        <v>0</v>
      </c>
      <c r="N31" s="477">
        <v>0</v>
      </c>
      <c r="O31" s="477">
        <v>0</v>
      </c>
      <c r="P31" s="477">
        <v>10577.98</v>
      </c>
      <c r="Q31" s="477">
        <v>0</v>
      </c>
      <c r="R31" s="477">
        <v>0</v>
      </c>
      <c r="S31" s="477">
        <v>0</v>
      </c>
      <c r="T31" s="477">
        <v>0</v>
      </c>
      <c r="U31" s="477">
        <v>0</v>
      </c>
      <c r="V31" s="137"/>
      <c r="W31" s="137"/>
    </row>
    <row r="32" spans="1:23" ht="12.75">
      <c r="A32" s="137"/>
      <c r="B32" s="137" t="s">
        <v>313</v>
      </c>
      <c r="C32" s="137" t="s">
        <v>314</v>
      </c>
      <c r="D32" s="137"/>
      <c r="E32" s="140">
        <f t="shared" si="7"/>
        <v>675837.24</v>
      </c>
      <c r="F32" s="477">
        <v>0</v>
      </c>
      <c r="G32" s="477">
        <v>24168.9</v>
      </c>
      <c r="H32" s="477">
        <v>154611.36</v>
      </c>
      <c r="I32" s="477">
        <v>0</v>
      </c>
      <c r="J32" s="477">
        <v>0</v>
      </c>
      <c r="K32" s="477">
        <v>495722.42</v>
      </c>
      <c r="L32" s="477">
        <v>0</v>
      </c>
      <c r="M32" s="477">
        <v>0</v>
      </c>
      <c r="N32" s="477">
        <v>0</v>
      </c>
      <c r="O32" s="477">
        <v>0</v>
      </c>
      <c r="P32" s="477">
        <v>0</v>
      </c>
      <c r="Q32" s="477">
        <v>0</v>
      </c>
      <c r="R32" s="477">
        <v>0</v>
      </c>
      <c r="S32" s="477">
        <v>0</v>
      </c>
      <c r="T32" s="477">
        <v>0</v>
      </c>
      <c r="U32" s="477">
        <v>1334.56</v>
      </c>
      <c r="V32" s="137"/>
      <c r="W32" s="137"/>
    </row>
    <row r="33" spans="1:23" ht="12.75">
      <c r="A33" s="137"/>
      <c r="B33" s="137" t="s">
        <v>315</v>
      </c>
      <c r="C33" s="137" t="s">
        <v>316</v>
      </c>
      <c r="D33" s="137"/>
      <c r="E33" s="140">
        <f t="shared" si="7"/>
        <v>7299.56</v>
      </c>
      <c r="F33" s="477">
        <v>0</v>
      </c>
      <c r="G33" s="477">
        <v>0</v>
      </c>
      <c r="H33" s="477">
        <v>0</v>
      </c>
      <c r="I33" s="477">
        <v>0</v>
      </c>
      <c r="J33" s="477">
        <v>0</v>
      </c>
      <c r="K33" s="477">
        <v>0</v>
      </c>
      <c r="L33" s="477">
        <v>7299.56</v>
      </c>
      <c r="M33" s="477">
        <v>0</v>
      </c>
      <c r="N33" s="477">
        <v>0</v>
      </c>
      <c r="O33" s="477">
        <v>0</v>
      </c>
      <c r="P33" s="477">
        <v>0</v>
      </c>
      <c r="Q33" s="477">
        <v>0</v>
      </c>
      <c r="R33" s="477">
        <v>0</v>
      </c>
      <c r="S33" s="477">
        <v>0</v>
      </c>
      <c r="T33" s="477">
        <v>0</v>
      </c>
      <c r="U33" s="477">
        <v>0</v>
      </c>
      <c r="V33" s="137"/>
      <c r="W33" s="137"/>
    </row>
    <row r="34" spans="1:23" ht="12.75">
      <c r="A34" s="137"/>
      <c r="B34" s="137" t="s">
        <v>317</v>
      </c>
      <c r="C34" s="137" t="s">
        <v>318</v>
      </c>
      <c r="D34" s="137"/>
      <c r="E34" s="142">
        <f t="shared" si="7"/>
        <v>986051.49</v>
      </c>
      <c r="F34" s="478">
        <v>0</v>
      </c>
      <c r="G34" s="478">
        <v>0</v>
      </c>
      <c r="H34" s="478">
        <v>229740</v>
      </c>
      <c r="I34" s="478">
        <v>0</v>
      </c>
      <c r="J34" s="478">
        <v>0</v>
      </c>
      <c r="K34" s="478">
        <v>756311.49</v>
      </c>
      <c r="L34" s="478">
        <v>0</v>
      </c>
      <c r="M34" s="478">
        <v>0</v>
      </c>
      <c r="N34" s="478">
        <v>0</v>
      </c>
      <c r="O34" s="478">
        <v>0</v>
      </c>
      <c r="P34" s="478">
        <v>0</v>
      </c>
      <c r="Q34" s="478">
        <v>0</v>
      </c>
      <c r="R34" s="478">
        <v>0</v>
      </c>
      <c r="S34" s="478">
        <v>0</v>
      </c>
      <c r="T34" s="478">
        <v>0</v>
      </c>
      <c r="U34" s="478">
        <v>0</v>
      </c>
      <c r="V34" s="137"/>
      <c r="W34" s="137"/>
    </row>
    <row r="35" spans="1:23" ht="12.75">
      <c r="A35" s="137"/>
      <c r="B35" s="137" t="s">
        <v>113</v>
      </c>
      <c r="C35" s="137"/>
      <c r="D35" s="137"/>
      <c r="E35" s="140">
        <f aca="true" t="shared" si="8" ref="E35:U35">SUM(E25:E34)</f>
        <v>46147870.70000001</v>
      </c>
      <c r="F35" s="140">
        <f t="shared" si="8"/>
        <v>2709094.7399999993</v>
      </c>
      <c r="G35" s="140">
        <f t="shared" si="8"/>
        <v>24168.9</v>
      </c>
      <c r="H35" s="140">
        <f t="shared" si="8"/>
        <v>3128661.36</v>
      </c>
      <c r="I35" s="140">
        <f t="shared" si="8"/>
        <v>134140.32</v>
      </c>
      <c r="J35" s="140">
        <f t="shared" si="8"/>
        <v>542623.8</v>
      </c>
      <c r="K35" s="140">
        <f t="shared" si="8"/>
        <v>38487926.49</v>
      </c>
      <c r="L35" s="140">
        <f t="shared" si="8"/>
        <v>7299.56</v>
      </c>
      <c r="M35" s="140">
        <f t="shared" si="8"/>
        <v>0</v>
      </c>
      <c r="N35" s="140">
        <f t="shared" si="8"/>
        <v>15292.08</v>
      </c>
      <c r="O35" s="140">
        <f t="shared" si="8"/>
        <v>15292.08</v>
      </c>
      <c r="P35" s="140">
        <f t="shared" si="8"/>
        <v>1020673.89</v>
      </c>
      <c r="Q35" s="140">
        <f t="shared" si="8"/>
        <v>1704.13</v>
      </c>
      <c r="R35" s="140">
        <f t="shared" si="8"/>
        <v>9072.119999999999</v>
      </c>
      <c r="S35" s="140">
        <f t="shared" si="8"/>
        <v>8528.920000000002</v>
      </c>
      <c r="T35" s="140">
        <f t="shared" si="8"/>
        <v>37614.200000000004</v>
      </c>
      <c r="U35" s="140">
        <f t="shared" si="8"/>
        <v>5778.110000000001</v>
      </c>
      <c r="V35" s="137"/>
      <c r="W35" s="137"/>
    </row>
    <row r="36" spans="1:23" ht="12.75">
      <c r="A36" s="137"/>
      <c r="B36" s="137"/>
      <c r="C36" s="137"/>
      <c r="D36" s="137"/>
      <c r="E36" s="137"/>
      <c r="F36" s="137"/>
      <c r="G36" s="137"/>
      <c r="H36" s="137"/>
      <c r="I36" s="137"/>
      <c r="J36" s="137"/>
      <c r="K36" s="137"/>
      <c r="L36" s="137"/>
      <c r="M36" s="137"/>
      <c r="N36" s="137"/>
      <c r="O36" s="137"/>
      <c r="P36" s="137"/>
      <c r="Q36" s="137"/>
      <c r="R36" s="137"/>
      <c r="S36" s="137"/>
      <c r="T36" s="137"/>
      <c r="U36" s="137"/>
      <c r="V36" s="137"/>
      <c r="W36" s="137"/>
    </row>
    <row r="37" spans="1:23" ht="12.75">
      <c r="A37" s="137"/>
      <c r="B37" s="137"/>
      <c r="C37" s="137"/>
      <c r="D37" s="137"/>
      <c r="E37" s="137"/>
      <c r="F37" s="138" t="s">
        <v>280</v>
      </c>
      <c r="G37" s="138"/>
      <c r="H37" s="138"/>
      <c r="I37" s="138"/>
      <c r="J37" s="138"/>
      <c r="K37" s="138"/>
      <c r="L37" s="138"/>
      <c r="M37" s="138"/>
      <c r="N37" s="138"/>
      <c r="O37" s="138"/>
      <c r="P37" s="138"/>
      <c r="Q37" s="138"/>
      <c r="R37" s="138"/>
      <c r="S37" s="138"/>
      <c r="T37" s="138"/>
      <c r="U37" s="138"/>
      <c r="V37" s="137"/>
      <c r="W37" s="137"/>
    </row>
    <row r="38" spans="1:23" ht="12.75">
      <c r="A38" s="137"/>
      <c r="B38" s="137" t="s">
        <v>322</v>
      </c>
      <c r="C38" s="137"/>
      <c r="D38" s="137"/>
      <c r="E38" s="139" t="s">
        <v>282</v>
      </c>
      <c r="F38" s="139" t="s">
        <v>283</v>
      </c>
      <c r="G38" s="139" t="s">
        <v>284</v>
      </c>
      <c r="H38" s="139" t="s">
        <v>285</v>
      </c>
      <c r="I38" s="139" t="s">
        <v>286</v>
      </c>
      <c r="J38" s="139" t="s">
        <v>287</v>
      </c>
      <c r="K38" s="139" t="s">
        <v>288</v>
      </c>
      <c r="L38" s="139" t="s">
        <v>289</v>
      </c>
      <c r="M38" s="139" t="s">
        <v>290</v>
      </c>
      <c r="N38" s="139" t="s">
        <v>291</v>
      </c>
      <c r="O38" s="139" t="s">
        <v>292</v>
      </c>
      <c r="P38" s="139" t="s">
        <v>293</v>
      </c>
      <c r="Q38" s="139" t="s">
        <v>382</v>
      </c>
      <c r="R38" s="139" t="s">
        <v>294</v>
      </c>
      <c r="S38" s="139" t="s">
        <v>296</v>
      </c>
      <c r="T38" s="139" t="s">
        <v>297</v>
      </c>
      <c r="U38" s="139" t="s">
        <v>298</v>
      </c>
      <c r="V38" s="137"/>
      <c r="W38" s="137"/>
    </row>
    <row r="39" spans="1:23" ht="12.75">
      <c r="A39" s="137"/>
      <c r="B39" s="137" t="s">
        <v>299</v>
      </c>
      <c r="C39" s="137" t="s">
        <v>300</v>
      </c>
      <c r="D39" s="137"/>
      <c r="E39" s="140">
        <f>SUM(F39:U39)</f>
        <v>36230375.019999996</v>
      </c>
      <c r="F39" s="477">
        <v>0</v>
      </c>
      <c r="G39" s="477">
        <v>0</v>
      </c>
      <c r="H39" s="477">
        <v>504570</v>
      </c>
      <c r="I39" s="477">
        <v>0</v>
      </c>
      <c r="J39" s="477">
        <v>542623.8</v>
      </c>
      <c r="K39" s="477">
        <v>34201271.52</v>
      </c>
      <c r="L39" s="477">
        <v>0</v>
      </c>
      <c r="M39" s="477">
        <v>14013</v>
      </c>
      <c r="N39" s="477">
        <v>0</v>
      </c>
      <c r="O39" s="477">
        <v>0</v>
      </c>
      <c r="P39" s="477">
        <v>913258.87</v>
      </c>
      <c r="Q39" s="477">
        <v>1704.12</v>
      </c>
      <c r="R39" s="477">
        <v>8841.21</v>
      </c>
      <c r="S39" s="477">
        <v>7800</v>
      </c>
      <c r="T39" s="477">
        <v>32260</v>
      </c>
      <c r="U39" s="477">
        <v>4032.5</v>
      </c>
      <c r="V39" s="137"/>
      <c r="W39" s="137"/>
    </row>
    <row r="40" spans="1:23" ht="12.75">
      <c r="A40" s="137"/>
      <c r="B40" s="137" t="s">
        <v>301</v>
      </c>
      <c r="C40" s="137" t="s">
        <v>302</v>
      </c>
      <c r="D40" s="137"/>
      <c r="E40" s="140">
        <f aca="true" t="shared" si="9" ref="E40:E48">SUM(F40:U40)</f>
        <v>2107034.87</v>
      </c>
      <c r="F40" s="477">
        <v>0</v>
      </c>
      <c r="G40" s="477">
        <v>0</v>
      </c>
      <c r="H40" s="477">
        <v>0</v>
      </c>
      <c r="I40" s="477">
        <v>134140.32</v>
      </c>
      <c r="J40" s="477">
        <v>0</v>
      </c>
      <c r="K40" s="477">
        <v>1936247.39</v>
      </c>
      <c r="L40" s="477">
        <v>0</v>
      </c>
      <c r="M40" s="477">
        <v>0</v>
      </c>
      <c r="N40" s="477">
        <v>0</v>
      </c>
      <c r="O40" s="477">
        <v>0</v>
      </c>
      <c r="P40" s="477">
        <v>34278.17</v>
      </c>
      <c r="Q40" s="477">
        <v>0</v>
      </c>
      <c r="R40" s="477">
        <v>331.24</v>
      </c>
      <c r="S40" s="477">
        <v>492.11</v>
      </c>
      <c r="T40" s="477">
        <v>1498.49</v>
      </c>
      <c r="U40" s="477">
        <v>47.15</v>
      </c>
      <c r="V40" s="137"/>
      <c r="W40" s="137"/>
    </row>
    <row r="41" spans="1:23" ht="12.75">
      <c r="A41" s="137"/>
      <c r="B41" s="137" t="s">
        <v>303</v>
      </c>
      <c r="C41" s="137" t="s">
        <v>304</v>
      </c>
      <c r="D41" s="137"/>
      <c r="E41" s="140">
        <f t="shared" si="9"/>
        <v>806847.7999999999</v>
      </c>
      <c r="F41" s="477">
        <v>0</v>
      </c>
      <c r="G41" s="477">
        <v>0</v>
      </c>
      <c r="H41" s="477">
        <v>0</v>
      </c>
      <c r="I41" s="477">
        <v>0</v>
      </c>
      <c r="J41" s="477">
        <v>0</v>
      </c>
      <c r="K41" s="477">
        <v>801878.35</v>
      </c>
      <c r="L41" s="477">
        <v>0</v>
      </c>
      <c r="M41" s="477">
        <v>0</v>
      </c>
      <c r="N41" s="477">
        <v>0</v>
      </c>
      <c r="O41" s="477">
        <v>0</v>
      </c>
      <c r="P41" s="477">
        <v>3947</v>
      </c>
      <c r="Q41" s="477">
        <v>0</v>
      </c>
      <c r="R41" s="477">
        <v>-80.23</v>
      </c>
      <c r="S41" s="477">
        <v>189.44</v>
      </c>
      <c r="T41" s="477">
        <v>811.72</v>
      </c>
      <c r="U41" s="477">
        <v>101.52</v>
      </c>
      <c r="V41" s="137"/>
      <c r="W41" s="137"/>
    </row>
    <row r="42" spans="1:23" ht="12.75">
      <c r="A42" s="137"/>
      <c r="B42" s="137" t="s">
        <v>305</v>
      </c>
      <c r="C42" s="137" t="s">
        <v>306</v>
      </c>
      <c r="D42" s="137"/>
      <c r="E42" s="140">
        <f t="shared" si="9"/>
        <v>201749.31</v>
      </c>
      <c r="F42" s="477">
        <v>0</v>
      </c>
      <c r="G42" s="477">
        <v>0</v>
      </c>
      <c r="H42" s="477">
        <v>0</v>
      </c>
      <c r="I42" s="477">
        <v>0</v>
      </c>
      <c r="J42" s="477">
        <v>0</v>
      </c>
      <c r="K42" s="477">
        <v>200507.13</v>
      </c>
      <c r="L42" s="477">
        <v>0</v>
      </c>
      <c r="M42" s="477">
        <v>0</v>
      </c>
      <c r="N42" s="477">
        <v>0</v>
      </c>
      <c r="O42" s="477">
        <v>0</v>
      </c>
      <c r="P42" s="477">
        <v>986.75</v>
      </c>
      <c r="Q42" s="477">
        <v>0</v>
      </c>
      <c r="R42" s="477">
        <v>-20.11</v>
      </c>
      <c r="S42" s="477">
        <v>47.4</v>
      </c>
      <c r="T42" s="477">
        <v>202.81</v>
      </c>
      <c r="U42" s="477">
        <v>25.33</v>
      </c>
      <c r="V42" s="137"/>
      <c r="W42" s="137"/>
    </row>
    <row r="43" spans="1:23" ht="12.75">
      <c r="A43" s="137"/>
      <c r="B43" s="137" t="s">
        <v>307</v>
      </c>
      <c r="C43" s="137" t="s">
        <v>308</v>
      </c>
      <c r="D43" s="137"/>
      <c r="E43" s="140">
        <f t="shared" si="9"/>
        <v>22115.609999999997</v>
      </c>
      <c r="F43" s="477">
        <v>0</v>
      </c>
      <c r="G43" s="477">
        <v>0</v>
      </c>
      <c r="H43" s="477">
        <v>0</v>
      </c>
      <c r="I43" s="477">
        <v>0</v>
      </c>
      <c r="J43" s="477">
        <v>0</v>
      </c>
      <c r="K43" s="477">
        <v>16998.92</v>
      </c>
      <c r="L43" s="477">
        <v>0</v>
      </c>
      <c r="M43" s="477">
        <v>0</v>
      </c>
      <c r="N43" s="477">
        <v>0</v>
      </c>
      <c r="O43" s="477">
        <v>0</v>
      </c>
      <c r="P43" s="477">
        <v>4231.19</v>
      </c>
      <c r="Q43" s="477">
        <v>0</v>
      </c>
      <c r="R43" s="477">
        <v>0</v>
      </c>
      <c r="S43" s="477">
        <v>0</v>
      </c>
      <c r="T43" s="477">
        <v>749.66</v>
      </c>
      <c r="U43" s="477">
        <v>135.84</v>
      </c>
      <c r="V43" s="137"/>
      <c r="W43" s="137"/>
    </row>
    <row r="44" spans="1:23" ht="12.75">
      <c r="A44" s="137"/>
      <c r="B44" s="137" t="s">
        <v>309</v>
      </c>
      <c r="C44" s="137" t="s">
        <v>310</v>
      </c>
      <c r="D44" s="137"/>
      <c r="E44" s="140">
        <f t="shared" si="9"/>
        <v>134576.13999999998</v>
      </c>
      <c r="F44" s="477">
        <v>0</v>
      </c>
      <c r="G44" s="477">
        <v>0</v>
      </c>
      <c r="H44" s="477">
        <v>0</v>
      </c>
      <c r="I44" s="477">
        <v>0</v>
      </c>
      <c r="J44" s="477">
        <v>0</v>
      </c>
      <c r="K44" s="477">
        <v>78989.33</v>
      </c>
      <c r="L44" s="477">
        <v>0</v>
      </c>
      <c r="M44" s="477">
        <v>0</v>
      </c>
      <c r="N44" s="477">
        <v>0</v>
      </c>
      <c r="O44" s="477">
        <v>0</v>
      </c>
      <c r="P44" s="477">
        <v>53393.89</v>
      </c>
      <c r="Q44" s="477">
        <v>0</v>
      </c>
      <c r="R44" s="477">
        <v>0</v>
      </c>
      <c r="S44" s="477">
        <v>0</v>
      </c>
      <c r="T44" s="477">
        <v>2091.56</v>
      </c>
      <c r="U44" s="477">
        <v>101.36</v>
      </c>
      <c r="V44" s="137"/>
      <c r="W44" s="137"/>
    </row>
    <row r="45" spans="1:23" ht="12.75">
      <c r="A45" s="137"/>
      <c r="B45" s="137" t="s">
        <v>311</v>
      </c>
      <c r="C45" s="137" t="s">
        <v>312</v>
      </c>
      <c r="D45" s="137"/>
      <c r="E45" s="140">
        <f t="shared" si="9"/>
        <v>10577.97</v>
      </c>
      <c r="F45" s="477">
        <v>0</v>
      </c>
      <c r="G45" s="477">
        <v>0</v>
      </c>
      <c r="H45" s="477">
        <v>0</v>
      </c>
      <c r="I45" s="477">
        <v>0</v>
      </c>
      <c r="J45" s="477">
        <v>0</v>
      </c>
      <c r="K45" s="477">
        <v>0</v>
      </c>
      <c r="L45" s="477">
        <v>0</v>
      </c>
      <c r="M45" s="477">
        <v>0</v>
      </c>
      <c r="N45" s="477">
        <v>0</v>
      </c>
      <c r="O45" s="477">
        <v>0</v>
      </c>
      <c r="P45" s="477">
        <v>10577.97</v>
      </c>
      <c r="Q45" s="477">
        <v>0</v>
      </c>
      <c r="R45" s="477">
        <v>0</v>
      </c>
      <c r="S45" s="477">
        <v>0</v>
      </c>
      <c r="T45" s="477">
        <v>0</v>
      </c>
      <c r="U45" s="477">
        <v>0</v>
      </c>
      <c r="V45" s="137"/>
      <c r="W45" s="137"/>
    </row>
    <row r="46" spans="1:23" ht="12.75">
      <c r="A46" s="137"/>
      <c r="B46" s="137" t="s">
        <v>313</v>
      </c>
      <c r="C46" s="137" t="s">
        <v>314</v>
      </c>
      <c r="D46" s="137"/>
      <c r="E46" s="140">
        <f t="shared" si="9"/>
        <v>166731.02000000002</v>
      </c>
      <c r="F46" s="477">
        <v>0</v>
      </c>
      <c r="G46" s="477">
        <v>0</v>
      </c>
      <c r="H46" s="477">
        <v>0</v>
      </c>
      <c r="I46" s="477">
        <v>0</v>
      </c>
      <c r="J46" s="477">
        <v>0</v>
      </c>
      <c r="K46" s="477">
        <v>165396.54</v>
      </c>
      <c r="L46" s="477">
        <v>0</v>
      </c>
      <c r="M46" s="477">
        <v>0</v>
      </c>
      <c r="N46" s="477">
        <v>0</v>
      </c>
      <c r="O46" s="477">
        <v>0</v>
      </c>
      <c r="P46" s="477">
        <v>0</v>
      </c>
      <c r="Q46" s="477">
        <v>0</v>
      </c>
      <c r="R46" s="477">
        <v>0</v>
      </c>
      <c r="S46" s="477">
        <v>0</v>
      </c>
      <c r="T46" s="477">
        <v>0</v>
      </c>
      <c r="U46" s="477">
        <v>1334.48</v>
      </c>
      <c r="V46" s="137"/>
      <c r="W46" s="137"/>
    </row>
    <row r="47" spans="1:23" ht="12.75">
      <c r="A47" s="137"/>
      <c r="B47" s="137" t="s">
        <v>315</v>
      </c>
      <c r="C47" s="137" t="s">
        <v>316</v>
      </c>
      <c r="D47" s="137"/>
      <c r="E47" s="140">
        <f t="shared" si="9"/>
        <v>7299.56</v>
      </c>
      <c r="F47" s="477">
        <v>0</v>
      </c>
      <c r="G47" s="477">
        <v>0</v>
      </c>
      <c r="H47" s="477">
        <v>0</v>
      </c>
      <c r="I47" s="477">
        <v>0</v>
      </c>
      <c r="J47" s="477">
        <v>0</v>
      </c>
      <c r="K47" s="477">
        <v>0</v>
      </c>
      <c r="L47" s="477">
        <v>7299.56</v>
      </c>
      <c r="M47" s="477">
        <v>0</v>
      </c>
      <c r="N47" s="477">
        <v>0</v>
      </c>
      <c r="O47" s="477">
        <v>0</v>
      </c>
      <c r="P47" s="477">
        <v>0</v>
      </c>
      <c r="Q47" s="477">
        <v>0</v>
      </c>
      <c r="R47" s="477">
        <v>0</v>
      </c>
      <c r="S47" s="477">
        <v>0</v>
      </c>
      <c r="T47" s="477">
        <v>0</v>
      </c>
      <c r="U47" s="477">
        <v>0</v>
      </c>
      <c r="V47" s="137"/>
      <c r="W47" s="137"/>
    </row>
    <row r="48" spans="1:23" ht="12.75">
      <c r="A48" s="137"/>
      <c r="B48" s="137" t="s">
        <v>317</v>
      </c>
      <c r="C48" s="137" t="s">
        <v>318</v>
      </c>
      <c r="D48" s="137"/>
      <c r="E48" s="142">
        <f t="shared" si="9"/>
        <v>756311.51</v>
      </c>
      <c r="F48" s="142">
        <v>0</v>
      </c>
      <c r="G48" s="142">
        <v>0</v>
      </c>
      <c r="H48" s="142">
        <v>0</v>
      </c>
      <c r="I48" s="142">
        <v>0</v>
      </c>
      <c r="J48" s="142">
        <v>0</v>
      </c>
      <c r="K48" s="142">
        <v>756311.51</v>
      </c>
      <c r="L48" s="142">
        <v>0</v>
      </c>
      <c r="M48" s="142">
        <v>0</v>
      </c>
      <c r="N48" s="142">
        <v>0</v>
      </c>
      <c r="O48" s="142">
        <v>0</v>
      </c>
      <c r="P48" s="142">
        <v>0</v>
      </c>
      <c r="Q48" s="142">
        <v>0</v>
      </c>
      <c r="R48" s="142">
        <v>0</v>
      </c>
      <c r="S48" s="142">
        <v>0</v>
      </c>
      <c r="T48" s="142">
        <v>0</v>
      </c>
      <c r="U48" s="142">
        <v>0</v>
      </c>
      <c r="V48" s="137"/>
      <c r="W48" s="137"/>
    </row>
    <row r="49" spans="1:23" ht="12.75">
      <c r="A49" s="137"/>
      <c r="B49" s="137" t="s">
        <v>113</v>
      </c>
      <c r="C49" s="137"/>
      <c r="D49" s="137"/>
      <c r="E49" s="140">
        <f>SUM(E39:E48)</f>
        <v>40443618.809999995</v>
      </c>
      <c r="F49" s="140">
        <f aca="true" t="shared" si="10" ref="F49:U49">SUM(F39:F48)</f>
        <v>0</v>
      </c>
      <c r="G49" s="140">
        <f t="shared" si="10"/>
        <v>0</v>
      </c>
      <c r="H49" s="140">
        <f t="shared" si="10"/>
        <v>504570</v>
      </c>
      <c r="I49" s="140">
        <f t="shared" si="10"/>
        <v>134140.32</v>
      </c>
      <c r="J49" s="140">
        <f t="shared" si="10"/>
        <v>542623.8</v>
      </c>
      <c r="K49" s="140">
        <f t="shared" si="10"/>
        <v>38157600.690000005</v>
      </c>
      <c r="L49" s="140">
        <f t="shared" si="10"/>
        <v>7299.56</v>
      </c>
      <c r="M49" s="140">
        <f t="shared" si="10"/>
        <v>14013</v>
      </c>
      <c r="N49" s="140">
        <f t="shared" si="10"/>
        <v>0</v>
      </c>
      <c r="O49" s="140">
        <f t="shared" si="10"/>
        <v>0</v>
      </c>
      <c r="P49" s="140">
        <f t="shared" si="10"/>
        <v>1020673.84</v>
      </c>
      <c r="Q49" s="140">
        <f t="shared" si="10"/>
        <v>1704.12</v>
      </c>
      <c r="R49" s="140">
        <f t="shared" si="10"/>
        <v>9072.109999999999</v>
      </c>
      <c r="S49" s="140">
        <f t="shared" si="10"/>
        <v>8528.95</v>
      </c>
      <c r="T49" s="140">
        <f t="shared" si="10"/>
        <v>37614.24</v>
      </c>
      <c r="U49" s="140">
        <f t="shared" si="10"/>
        <v>5778.18</v>
      </c>
      <c r="V49" s="137"/>
      <c r="W49" s="137"/>
    </row>
    <row r="50" spans="1:23" ht="21">
      <c r="A50" s="137"/>
      <c r="B50" s="274"/>
      <c r="C50" s="137"/>
      <c r="D50" s="137"/>
      <c r="E50" s="137"/>
      <c r="F50" s="137"/>
      <c r="G50" s="137"/>
      <c r="H50" s="137"/>
      <c r="I50" s="137"/>
      <c r="J50" s="137"/>
      <c r="K50" s="137"/>
      <c r="L50" s="137"/>
      <c r="M50" s="137"/>
      <c r="N50" s="137"/>
      <c r="O50" s="137"/>
      <c r="P50" s="137"/>
      <c r="Q50" s="137"/>
      <c r="R50" s="137"/>
      <c r="S50" s="137"/>
      <c r="T50" s="137"/>
      <c r="U50" s="137"/>
      <c r="V50" s="137"/>
      <c r="W50" s="137"/>
    </row>
    <row r="51" spans="1:23" ht="21">
      <c r="A51" s="137"/>
      <c r="B51" s="449" t="s">
        <v>31</v>
      </c>
      <c r="C51" s="444" t="s">
        <v>30</v>
      </c>
      <c r="D51" s="137"/>
      <c r="E51" s="137"/>
      <c r="F51" s="137"/>
      <c r="G51" s="137"/>
      <c r="H51" s="137"/>
      <c r="I51" s="137"/>
      <c r="J51" s="137"/>
      <c r="K51" s="137"/>
      <c r="L51" s="137"/>
      <c r="M51" s="137"/>
      <c r="N51" s="137"/>
      <c r="O51" s="137"/>
      <c r="P51" s="137"/>
      <c r="Q51" s="137"/>
      <c r="R51" s="137"/>
      <c r="S51" s="137"/>
      <c r="T51" s="137"/>
      <c r="U51" s="137"/>
      <c r="V51" s="137"/>
      <c r="W51" s="137"/>
    </row>
    <row r="52" spans="1:42" ht="12.75">
      <c r="A52" s="137"/>
      <c r="B52" s="272"/>
      <c r="E52" s="518" t="s">
        <v>349</v>
      </c>
      <c r="F52" s="518"/>
      <c r="G52" s="518"/>
      <c r="H52" s="518"/>
      <c r="I52" s="518"/>
      <c r="J52" s="518"/>
      <c r="K52" s="518"/>
      <c r="L52" s="272"/>
      <c r="M52" s="518" t="s">
        <v>350</v>
      </c>
      <c r="N52" s="518"/>
      <c r="O52" s="518"/>
      <c r="P52" s="518"/>
      <c r="Q52" s="518"/>
      <c r="R52" s="518"/>
      <c r="S52" s="272"/>
      <c r="T52" s="272"/>
      <c r="U52" s="272"/>
      <c r="V52" s="272"/>
      <c r="W52" s="272"/>
      <c r="X52" s="276"/>
      <c r="Y52" s="276"/>
      <c r="Z52" s="276"/>
      <c r="AA52" s="276"/>
      <c r="AB52" s="276"/>
      <c r="AC52" s="276"/>
      <c r="AD52" s="276"/>
      <c r="AE52" s="276"/>
      <c r="AF52" s="276"/>
      <c r="AG52" s="276"/>
      <c r="AH52" s="276"/>
      <c r="AI52" s="276"/>
      <c r="AJ52" s="276"/>
      <c r="AK52" s="276"/>
      <c r="AL52" s="276"/>
      <c r="AM52" s="276"/>
      <c r="AN52" s="276"/>
      <c r="AO52" s="276"/>
      <c r="AP52" s="276"/>
    </row>
    <row r="53" spans="1:42" ht="27">
      <c r="A53" s="137"/>
      <c r="C53" s="310" t="s">
        <v>657</v>
      </c>
      <c r="E53" s="278"/>
      <c r="F53" s="279"/>
      <c r="G53" s="279"/>
      <c r="H53" s="280"/>
      <c r="I53" s="280"/>
      <c r="K53" s="281" t="s">
        <v>323</v>
      </c>
      <c r="L53" s="276"/>
      <c r="M53" s="278"/>
      <c r="N53" s="279"/>
      <c r="O53" s="277"/>
      <c r="P53" s="282"/>
      <c r="Q53" s="277"/>
      <c r="R53" s="281" t="s">
        <v>323</v>
      </c>
      <c r="S53" s="272"/>
      <c r="T53" s="272"/>
      <c r="U53" s="272"/>
      <c r="V53" s="272"/>
      <c r="W53" s="272"/>
      <c r="X53" s="276"/>
      <c r="Y53" s="276"/>
      <c r="Z53" s="276"/>
      <c r="AA53" s="276"/>
      <c r="AB53" s="276"/>
      <c r="AC53" s="276"/>
      <c r="AD53" s="276"/>
      <c r="AE53" s="276"/>
      <c r="AF53" s="276"/>
      <c r="AG53" s="276"/>
      <c r="AH53" s="276"/>
      <c r="AI53" s="276"/>
      <c r="AJ53" s="276"/>
      <c r="AK53" s="276"/>
      <c r="AL53" s="276"/>
      <c r="AM53" s="276"/>
      <c r="AN53" s="276"/>
      <c r="AO53" s="276"/>
      <c r="AP53" s="276"/>
    </row>
    <row r="54" spans="1:23" ht="13.5">
      <c r="A54" s="137"/>
      <c r="C54" s="311"/>
      <c r="E54" s="288" t="s">
        <v>228</v>
      </c>
      <c r="G54" s="6"/>
      <c r="H54" s="6"/>
      <c r="I54" s="6"/>
      <c r="J54" s="6"/>
      <c r="K54" s="284" t="s">
        <v>105</v>
      </c>
      <c r="M54" s="288" t="s">
        <v>228</v>
      </c>
      <c r="N54" s="6"/>
      <c r="O54" s="6"/>
      <c r="P54" s="6"/>
      <c r="Q54" s="6"/>
      <c r="R54" s="284" t="s">
        <v>105</v>
      </c>
      <c r="S54" s="272"/>
      <c r="T54" s="272"/>
      <c r="U54" s="272"/>
      <c r="V54" s="137"/>
      <c r="W54" s="137"/>
    </row>
    <row r="55" spans="1:23" ht="13.5">
      <c r="A55" s="137"/>
      <c r="C55" s="270">
        <v>1</v>
      </c>
      <c r="E55" s="283" t="s">
        <v>10</v>
      </c>
      <c r="G55" s="285"/>
      <c r="H55" s="6"/>
      <c r="I55" s="286"/>
      <c r="J55" s="286"/>
      <c r="K55" s="287">
        <f>4846385</f>
        <v>4846385</v>
      </c>
      <c r="M55" s="283" t="s">
        <v>10</v>
      </c>
      <c r="N55" s="6"/>
      <c r="O55" s="6"/>
      <c r="P55" s="6"/>
      <c r="Q55" s="6"/>
      <c r="R55" s="284">
        <f>2838937</f>
        <v>2838937</v>
      </c>
      <c r="S55" s="272"/>
      <c r="T55" s="272"/>
      <c r="U55" s="272"/>
      <c r="V55" s="137"/>
      <c r="W55" s="137"/>
    </row>
    <row r="56" spans="1:23" ht="13.5">
      <c r="A56" s="137"/>
      <c r="C56" s="270"/>
      <c r="E56" s="288" t="s">
        <v>328</v>
      </c>
      <c r="G56" s="285"/>
      <c r="H56" s="6"/>
      <c r="I56" s="286"/>
      <c r="J56" s="286"/>
      <c r="K56" s="6"/>
      <c r="M56" s="289" t="s">
        <v>328</v>
      </c>
      <c r="N56" s="285"/>
      <c r="O56" s="6"/>
      <c r="P56" s="286"/>
      <c r="Q56" s="286"/>
      <c r="R56" s="6"/>
      <c r="S56" s="272"/>
      <c r="T56" s="272"/>
      <c r="U56" s="272"/>
      <c r="V56" s="137"/>
      <c r="W56" s="137"/>
    </row>
    <row r="57" spans="1:23" ht="13.5">
      <c r="A57" s="137"/>
      <c r="C57" s="270">
        <v>2</v>
      </c>
      <c r="E57" s="145" t="s">
        <v>343</v>
      </c>
      <c r="G57" s="285"/>
      <c r="H57" s="6"/>
      <c r="I57" s="286"/>
      <c r="J57" s="286"/>
      <c r="K57" s="287">
        <f>+H65</f>
        <v>663893.7355549999</v>
      </c>
      <c r="M57" s="145" t="s">
        <v>352</v>
      </c>
      <c r="N57" s="285"/>
      <c r="O57" s="6"/>
      <c r="P57" s="286"/>
      <c r="Q57" s="286"/>
      <c r="R57" s="284">
        <v>1417968.96</v>
      </c>
      <c r="S57" s="272"/>
      <c r="T57" s="272"/>
      <c r="U57" s="272"/>
      <c r="V57" s="137"/>
      <c r="W57" s="137"/>
    </row>
    <row r="58" spans="1:23" ht="13.5">
      <c r="A58" s="137"/>
      <c r="C58" s="270">
        <v>3</v>
      </c>
      <c r="E58" s="283" t="s">
        <v>353</v>
      </c>
      <c r="G58" s="285"/>
      <c r="H58" s="6"/>
      <c r="I58" s="286"/>
      <c r="J58" s="286"/>
      <c r="K58" s="290">
        <v>170566.06</v>
      </c>
      <c r="M58" s="145" t="s">
        <v>353</v>
      </c>
      <c r="N58" s="285"/>
      <c r="O58" s="6"/>
      <c r="P58" s="286"/>
      <c r="Q58" s="286"/>
      <c r="R58" s="291">
        <v>20797.54</v>
      </c>
      <c r="S58" s="272"/>
      <c r="T58" s="272"/>
      <c r="U58" s="272"/>
      <c r="V58" s="137"/>
      <c r="W58" s="137"/>
    </row>
    <row r="59" spans="1:23" ht="13.5">
      <c r="A59" s="137"/>
      <c r="C59" s="270">
        <v>4</v>
      </c>
      <c r="E59" s="283"/>
      <c r="G59" s="285"/>
      <c r="H59" s="6"/>
      <c r="I59" s="286"/>
      <c r="J59" s="286"/>
      <c r="K59" s="287"/>
      <c r="M59" s="145" t="s">
        <v>343</v>
      </c>
      <c r="N59" s="285"/>
      <c r="O59" s="6"/>
      <c r="P59" s="286"/>
      <c r="Q59" s="286"/>
      <c r="R59" s="292">
        <f>+O65</f>
        <v>1364640.6088710001</v>
      </c>
      <c r="S59" s="272"/>
      <c r="T59" s="272"/>
      <c r="U59" s="272"/>
      <c r="V59" s="137"/>
      <c r="W59" s="137"/>
    </row>
    <row r="60" spans="1:23" ht="13.5">
      <c r="A60" s="137"/>
      <c r="C60" s="270">
        <v>5</v>
      </c>
      <c r="E60" s="283" t="s">
        <v>736</v>
      </c>
      <c r="G60" s="285"/>
      <c r="H60" s="6"/>
      <c r="I60" s="286"/>
      <c r="J60" s="286"/>
      <c r="K60" s="293">
        <f>+K55-K57-K58</f>
        <v>4011925.2044450003</v>
      </c>
      <c r="M60" s="283" t="s">
        <v>737</v>
      </c>
      <c r="N60" s="285"/>
      <c r="O60" s="6"/>
      <c r="P60" s="286"/>
      <c r="Q60" s="286"/>
      <c r="R60" s="294">
        <f>+R55-R57-R58-R59</f>
        <v>35529.89112899988</v>
      </c>
      <c r="S60" s="272"/>
      <c r="T60" s="272"/>
      <c r="U60" s="272"/>
      <c r="V60" s="137"/>
      <c r="W60" s="137"/>
    </row>
    <row r="61" spans="1:23" ht="13.5">
      <c r="A61" s="137"/>
      <c r="C61" s="270"/>
      <c r="E61" s="6"/>
      <c r="G61" s="6"/>
      <c r="H61" s="6"/>
      <c r="I61" s="6"/>
      <c r="J61" s="6"/>
      <c r="K61" s="6"/>
      <c r="M61" s="289"/>
      <c r="N61" s="285"/>
      <c r="O61" s="6"/>
      <c r="P61" s="286"/>
      <c r="Q61" s="286"/>
      <c r="R61" s="295"/>
      <c r="S61" s="272"/>
      <c r="T61" s="272"/>
      <c r="U61" s="272"/>
      <c r="V61" s="137"/>
      <c r="W61" s="137"/>
    </row>
    <row r="62" spans="1:23" ht="13.5">
      <c r="A62" s="137"/>
      <c r="C62" s="270"/>
      <c r="E62" s="145" t="s">
        <v>340</v>
      </c>
      <c r="G62" s="285"/>
      <c r="H62" s="6"/>
      <c r="I62" s="286"/>
      <c r="J62" s="286"/>
      <c r="K62" s="287"/>
      <c r="M62" s="145" t="s">
        <v>340</v>
      </c>
      <c r="N62" s="285"/>
      <c r="O62" s="6"/>
      <c r="P62" s="286"/>
      <c r="Q62" s="286"/>
      <c r="R62" s="295" t="s">
        <v>105</v>
      </c>
      <c r="S62" s="272"/>
      <c r="T62" s="272"/>
      <c r="U62" s="272"/>
      <c r="V62" s="137"/>
      <c r="W62" s="137"/>
    </row>
    <row r="63" spans="1:23" ht="13.5">
      <c r="A63" s="137"/>
      <c r="C63" s="270">
        <v>6</v>
      </c>
      <c r="E63" s="289" t="s">
        <v>663</v>
      </c>
      <c r="G63" s="285"/>
      <c r="H63" s="294">
        <f>585717.73+48375+5928.74+27275.48</f>
        <v>667296.95</v>
      </c>
      <c r="I63" s="286"/>
      <c r="J63" s="286"/>
      <c r="K63" s="287"/>
      <c r="M63" s="289" t="s">
        <v>663</v>
      </c>
      <c r="N63" s="285"/>
      <c r="O63" s="296">
        <f>1352273.8+27779.03+7200</f>
        <v>1387252.83</v>
      </c>
      <c r="P63" s="286"/>
      <c r="Q63" s="286"/>
      <c r="R63" s="295" t="s">
        <v>105</v>
      </c>
      <c r="S63" s="272"/>
      <c r="T63" s="272"/>
      <c r="U63" s="272"/>
      <c r="V63" s="137"/>
      <c r="W63" s="137"/>
    </row>
    <row r="64" spans="1:23" ht="13.5">
      <c r="A64" s="137"/>
      <c r="C64" s="270">
        <v>7</v>
      </c>
      <c r="E64" s="145" t="s">
        <v>341</v>
      </c>
      <c r="G64" s="285"/>
      <c r="H64" s="297">
        <v>0.9949</v>
      </c>
      <c r="I64" s="286"/>
      <c r="J64" s="286"/>
      <c r="K64" s="287" t="s">
        <v>105</v>
      </c>
      <c r="M64" s="145" t="s">
        <v>341</v>
      </c>
      <c r="N64" s="285"/>
      <c r="O64" s="297">
        <v>0.9837</v>
      </c>
      <c r="P64" s="286"/>
      <c r="Q64" s="286"/>
      <c r="R64" s="295" t="s">
        <v>182</v>
      </c>
      <c r="S64" s="272"/>
      <c r="T64" s="272"/>
      <c r="U64" s="272"/>
      <c r="V64" s="137"/>
      <c r="W64" s="137"/>
    </row>
    <row r="65" spans="1:23" ht="13.5">
      <c r="A65" s="137"/>
      <c r="C65" s="270">
        <v>8</v>
      </c>
      <c r="E65" s="145" t="s">
        <v>342</v>
      </c>
      <c r="G65" s="285"/>
      <c r="H65" s="296">
        <f>+H63*H64</f>
        <v>663893.7355549999</v>
      </c>
      <c r="I65" s="286"/>
      <c r="J65" s="286"/>
      <c r="K65" s="287"/>
      <c r="M65" s="145" t="s">
        <v>342</v>
      </c>
      <c r="N65" s="285"/>
      <c r="O65" s="296">
        <f>+O63*O64</f>
        <v>1364640.6088710001</v>
      </c>
      <c r="P65" s="286"/>
      <c r="Q65" s="286"/>
      <c r="R65" s="295" t="s">
        <v>105</v>
      </c>
      <c r="S65" s="272"/>
      <c r="T65" s="272"/>
      <c r="U65" s="272"/>
      <c r="V65" s="137"/>
      <c r="W65" s="137"/>
    </row>
    <row r="66" spans="1:23" ht="13.5">
      <c r="A66" s="137"/>
      <c r="C66" s="270"/>
      <c r="E66" s="288"/>
      <c r="G66" s="285"/>
      <c r="H66" s="6"/>
      <c r="I66" s="286"/>
      <c r="J66" s="286"/>
      <c r="K66" s="287"/>
      <c r="M66" s="289"/>
      <c r="N66" s="285"/>
      <c r="O66" s="6"/>
      <c r="P66" s="286"/>
      <c r="Q66" s="286"/>
      <c r="R66" s="295" t="s">
        <v>105</v>
      </c>
      <c r="S66" s="272"/>
      <c r="T66" s="272"/>
      <c r="U66" s="272"/>
      <c r="V66" s="137"/>
      <c r="W66" s="137"/>
    </row>
    <row r="67" spans="1:23" ht="14.25" thickBot="1">
      <c r="A67" s="137"/>
      <c r="C67" s="270"/>
      <c r="E67" s="283"/>
      <c r="G67" s="285"/>
      <c r="H67" s="298" t="s">
        <v>338</v>
      </c>
      <c r="I67" s="299" t="s">
        <v>324</v>
      </c>
      <c r="J67" s="286"/>
      <c r="K67" s="300" t="s">
        <v>105</v>
      </c>
      <c r="M67" s="283"/>
      <c r="N67" s="285"/>
      <c r="O67" s="298" t="s">
        <v>338</v>
      </c>
      <c r="P67" s="299" t="s">
        <v>324</v>
      </c>
      <c r="Q67" s="286"/>
      <c r="R67" s="300"/>
      <c r="S67" s="272"/>
      <c r="T67" s="272"/>
      <c r="U67" s="272"/>
      <c r="V67" s="137"/>
      <c r="W67" s="137"/>
    </row>
    <row r="68" spans="1:23" ht="13.5">
      <c r="A68" s="137"/>
      <c r="C68" s="270">
        <v>9</v>
      </c>
      <c r="E68" s="283"/>
      <c r="G68" s="285" t="s">
        <v>137</v>
      </c>
      <c r="H68" s="284">
        <v>640</v>
      </c>
      <c r="I68" s="301">
        <f>+H68/H70</f>
        <v>0.005095541401273885</v>
      </c>
      <c r="J68" s="286"/>
      <c r="K68" s="300"/>
      <c r="M68" s="283"/>
      <c r="N68" s="285" t="s">
        <v>137</v>
      </c>
      <c r="O68" s="284">
        <v>2160</v>
      </c>
      <c r="P68" s="301">
        <f>+O68/O70</f>
        <v>0.016269960831575777</v>
      </c>
      <c r="Q68" s="286"/>
      <c r="R68" s="300"/>
      <c r="S68" s="272"/>
      <c r="T68" s="272"/>
      <c r="U68" s="272"/>
      <c r="V68" s="137"/>
      <c r="W68" s="137"/>
    </row>
    <row r="69" spans="1:23" ht="14.25" thickBot="1">
      <c r="A69" s="137"/>
      <c r="C69" s="270">
        <v>10</v>
      </c>
      <c r="E69" s="302"/>
      <c r="G69" s="145" t="s">
        <v>329</v>
      </c>
      <c r="H69" s="303">
        <v>124960</v>
      </c>
      <c r="I69" s="304">
        <f>+H69/H70</f>
        <v>0.9949044585987261</v>
      </c>
      <c r="J69" s="145"/>
      <c r="K69" s="145"/>
      <c r="M69" s="302"/>
      <c r="N69" s="145" t="s">
        <v>329</v>
      </c>
      <c r="O69" s="303">
        <v>130600</v>
      </c>
      <c r="P69" s="304">
        <f>+O69/O70</f>
        <v>0.9837300391684243</v>
      </c>
      <c r="Q69" s="145"/>
      <c r="R69" s="145"/>
      <c r="S69" s="272"/>
      <c r="T69" s="272"/>
      <c r="U69" s="272"/>
      <c r="V69" s="137"/>
      <c r="W69" s="137"/>
    </row>
    <row r="70" spans="1:23" ht="13.5">
      <c r="A70" s="137"/>
      <c r="C70" s="270">
        <v>11</v>
      </c>
      <c r="E70" s="145"/>
      <c r="G70" s="145" t="s">
        <v>113</v>
      </c>
      <c r="H70" s="305">
        <f>SUM(H68:H69)</f>
        <v>125600</v>
      </c>
      <c r="I70" s="306">
        <f>SUM(I68:I69)</f>
        <v>1</v>
      </c>
      <c r="J70" s="145"/>
      <c r="K70" s="145"/>
      <c r="M70" s="145"/>
      <c r="N70" s="145" t="s">
        <v>113</v>
      </c>
      <c r="O70" s="305">
        <f>SUM(O68:O69)</f>
        <v>132760</v>
      </c>
      <c r="P70" s="306">
        <f>SUM(P68:P69)</f>
        <v>1</v>
      </c>
      <c r="Q70" s="145"/>
      <c r="R70" s="145"/>
      <c r="S70" s="272"/>
      <c r="T70" s="272"/>
      <c r="U70" s="272"/>
      <c r="V70" s="137"/>
      <c r="W70" s="137"/>
    </row>
    <row r="71" spans="1:23" ht="13.5">
      <c r="A71" s="137"/>
      <c r="B71" s="272"/>
      <c r="N71" s="145"/>
      <c r="O71" s="145"/>
      <c r="P71" s="145"/>
      <c r="Q71" s="145"/>
      <c r="R71" s="145"/>
      <c r="S71" s="272"/>
      <c r="T71" s="272"/>
      <c r="U71" s="272"/>
      <c r="V71" s="137"/>
      <c r="W71" s="137"/>
    </row>
    <row r="72" spans="1:23" ht="13.5">
      <c r="A72" s="137"/>
      <c r="B72" s="272"/>
      <c r="E72" s="307" t="s">
        <v>664</v>
      </c>
      <c r="F72" s="272"/>
      <c r="G72" s="272"/>
      <c r="H72" s="272"/>
      <c r="I72" s="272"/>
      <c r="J72" s="272"/>
      <c r="K72" s="272"/>
      <c r="L72" s="272"/>
      <c r="M72" s="272"/>
      <c r="N72" s="307"/>
      <c r="O72" s="308"/>
      <c r="P72" s="282"/>
      <c r="Q72" s="309"/>
      <c r="R72" s="309"/>
      <c r="S72" s="272"/>
      <c r="T72" s="272"/>
      <c r="U72" s="272"/>
      <c r="V72" s="272"/>
      <c r="W72" s="137"/>
    </row>
    <row r="73" spans="1:23" ht="21">
      <c r="A73" s="274" t="s">
        <v>35</v>
      </c>
      <c r="C73" s="272"/>
      <c r="D73" s="137"/>
      <c r="E73" s="137"/>
      <c r="F73" s="137"/>
      <c r="G73" s="137"/>
      <c r="H73" s="137"/>
      <c r="I73" s="137"/>
      <c r="J73" s="137"/>
      <c r="K73" s="137"/>
      <c r="L73" s="374" t="s">
        <v>665</v>
      </c>
      <c r="M73" s="174"/>
      <c r="N73" s="174"/>
      <c r="O73" s="174"/>
      <c r="P73" s="174"/>
      <c r="Q73" s="174"/>
      <c r="R73" s="174"/>
      <c r="S73" s="174"/>
      <c r="T73" s="174"/>
      <c r="U73" s="174"/>
      <c r="V73" s="272"/>
      <c r="W73" s="137"/>
    </row>
    <row r="74" spans="1:23" ht="21">
      <c r="A74" s="137"/>
      <c r="B74" s="274"/>
      <c r="C74" s="272"/>
      <c r="D74" s="137"/>
      <c r="E74" s="137"/>
      <c r="F74" s="137"/>
      <c r="G74" s="137"/>
      <c r="H74" s="137"/>
      <c r="I74" s="137"/>
      <c r="J74" s="137"/>
      <c r="K74" s="137"/>
      <c r="L74" s="374" t="s">
        <v>72</v>
      </c>
      <c r="M74" s="174"/>
      <c r="N74" s="174"/>
      <c r="O74" s="174"/>
      <c r="P74" s="174"/>
      <c r="Q74" s="174"/>
      <c r="R74" s="174"/>
      <c r="S74" s="174"/>
      <c r="T74" s="174"/>
      <c r="U74" s="371" t="s">
        <v>812</v>
      </c>
      <c r="V74" s="272"/>
      <c r="W74" s="137"/>
    </row>
    <row r="75" spans="1:23" ht="21">
      <c r="A75" s="137"/>
      <c r="B75" s="274"/>
      <c r="C75" s="272"/>
      <c r="D75" s="137"/>
      <c r="E75" s="137"/>
      <c r="F75" s="137"/>
      <c r="G75" s="137"/>
      <c r="H75" s="137"/>
      <c r="I75" s="137"/>
      <c r="J75" s="137"/>
      <c r="K75" s="137"/>
      <c r="L75" s="374"/>
      <c r="M75" s="174"/>
      <c r="N75" s="174"/>
      <c r="O75" s="174"/>
      <c r="P75" s="174"/>
      <c r="Q75" s="174"/>
      <c r="R75" s="174"/>
      <c r="S75" s="174"/>
      <c r="T75" s="174"/>
      <c r="U75" s="371"/>
      <c r="V75" s="272"/>
      <c r="W75" s="137"/>
    </row>
    <row r="76" spans="2:22" ht="21">
      <c r="B76" s="447" t="s">
        <v>32</v>
      </c>
      <c r="C76" s="274" t="s">
        <v>36</v>
      </c>
      <c r="D76" s="276"/>
      <c r="E76" s="276"/>
      <c r="F76" s="276"/>
      <c r="G76" s="276"/>
      <c r="H76" s="276"/>
      <c r="I76" s="276"/>
      <c r="J76" s="276"/>
      <c r="K76" s="276"/>
      <c r="L76" s="276"/>
      <c r="M76" s="276"/>
      <c r="N76" s="276"/>
      <c r="O76" s="276"/>
      <c r="P76" s="276"/>
      <c r="Q76" s="276"/>
      <c r="R76" s="276"/>
      <c r="S76" s="276"/>
      <c r="T76" s="276"/>
      <c r="U76" s="276"/>
      <c r="V76" s="276"/>
    </row>
    <row r="77" spans="2:22" ht="12.75" customHeight="1">
      <c r="B77" s="274"/>
      <c r="C77" s="276"/>
      <c r="D77" s="276"/>
      <c r="E77" s="276"/>
      <c r="F77" s="276"/>
      <c r="G77" s="276"/>
      <c r="H77" s="276"/>
      <c r="I77" s="276"/>
      <c r="J77" s="276"/>
      <c r="K77" s="276"/>
      <c r="L77" s="276"/>
      <c r="M77" s="276"/>
      <c r="N77" s="276"/>
      <c r="O77" s="276"/>
      <c r="P77" s="276"/>
      <c r="Q77" s="276"/>
      <c r="R77" s="276"/>
      <c r="S77" s="276"/>
      <c r="T77" s="276"/>
      <c r="U77" s="276"/>
      <c r="V77" s="276"/>
    </row>
    <row r="78" spans="3:22" ht="15">
      <c r="C78" s="56" t="s">
        <v>244</v>
      </c>
      <c r="D78" s="276"/>
      <c r="E78" s="276"/>
      <c r="F78" s="276"/>
      <c r="G78" s="276">
        <v>0</v>
      </c>
      <c r="H78" s="276"/>
      <c r="I78" s="276"/>
      <c r="J78" s="276"/>
      <c r="K78" s="276"/>
      <c r="L78" s="276"/>
      <c r="M78" s="276"/>
      <c r="N78" s="276"/>
      <c r="O78" s="276"/>
      <c r="P78" s="276"/>
      <c r="Q78" s="276"/>
      <c r="R78" s="276"/>
      <c r="S78" s="276"/>
      <c r="T78" s="276"/>
      <c r="U78" s="276"/>
      <c r="V78" s="276"/>
    </row>
    <row r="79" spans="2:22" ht="12.75" customHeight="1">
      <c r="B79" s="276"/>
      <c r="C79" s="276"/>
      <c r="D79" s="276"/>
      <c r="E79" s="276"/>
      <c r="F79" s="276"/>
      <c r="G79" s="276"/>
      <c r="H79" s="276"/>
      <c r="I79" s="276"/>
      <c r="J79" s="276"/>
      <c r="K79" s="276"/>
      <c r="L79" s="276"/>
      <c r="M79" s="276"/>
      <c r="N79" s="276"/>
      <c r="O79" s="276"/>
      <c r="P79" s="276"/>
      <c r="Q79" s="276"/>
      <c r="R79" s="276"/>
      <c r="S79" s="276"/>
      <c r="T79" s="276"/>
      <c r="U79" s="276"/>
      <c r="V79" s="276"/>
    </row>
    <row r="80" spans="2:22" ht="15">
      <c r="B80" s="276"/>
      <c r="C80" s="56" t="s">
        <v>245</v>
      </c>
      <c r="D80" s="276"/>
      <c r="E80" s="276"/>
      <c r="F80" s="276"/>
      <c r="G80" s="276">
        <v>0</v>
      </c>
      <c r="H80" s="276"/>
      <c r="I80" s="276"/>
      <c r="J80" s="276"/>
      <c r="K80" s="276"/>
      <c r="L80" s="276"/>
      <c r="M80" s="276"/>
      <c r="N80" s="276"/>
      <c r="O80" s="276"/>
      <c r="P80" s="276"/>
      <c r="Q80" s="276"/>
      <c r="R80" s="276"/>
      <c r="S80" s="276"/>
      <c r="T80" s="276"/>
      <c r="U80" s="276"/>
      <c r="V80" s="276"/>
    </row>
    <row r="81" spans="2:22" ht="21">
      <c r="B81" s="274"/>
      <c r="C81" s="56"/>
      <c r="D81" s="276"/>
      <c r="E81" s="276"/>
      <c r="F81" s="276"/>
      <c r="G81" s="276"/>
      <c r="H81" s="276"/>
      <c r="I81" s="276"/>
      <c r="J81" s="276"/>
      <c r="K81" s="276"/>
      <c r="L81" s="276"/>
      <c r="M81" s="276"/>
      <c r="N81" s="276"/>
      <c r="O81" s="276"/>
      <c r="P81" s="276"/>
      <c r="Q81" s="276"/>
      <c r="R81" s="276"/>
      <c r="S81" s="276"/>
      <c r="T81" s="276"/>
      <c r="U81" s="276"/>
      <c r="V81" s="276"/>
    </row>
    <row r="82" spans="2:22" ht="21">
      <c r="B82" s="447" t="s">
        <v>33</v>
      </c>
      <c r="C82" s="274" t="s">
        <v>34</v>
      </c>
      <c r="D82" s="276"/>
      <c r="E82" s="276"/>
      <c r="F82" s="276"/>
      <c r="G82" s="276"/>
      <c r="H82" s="276"/>
      <c r="I82" s="276"/>
      <c r="J82" s="276"/>
      <c r="K82" s="276"/>
      <c r="L82" s="276"/>
      <c r="M82" s="276"/>
      <c r="N82" s="276"/>
      <c r="O82" s="276"/>
      <c r="P82" s="276"/>
      <c r="Q82" s="276"/>
      <c r="R82" s="276"/>
      <c r="S82" s="276"/>
      <c r="T82" s="276"/>
      <c r="U82" s="276"/>
      <c r="V82" s="276"/>
    </row>
    <row r="83" spans="2:22" ht="15" customHeight="1">
      <c r="B83" s="447"/>
      <c r="C83" s="274"/>
      <c r="D83" s="276"/>
      <c r="E83" s="276"/>
      <c r="F83" s="276"/>
      <c r="G83" s="276"/>
      <c r="H83" s="276"/>
      <c r="I83" s="276"/>
      <c r="J83" s="276"/>
      <c r="K83" s="276"/>
      <c r="L83" s="276"/>
      <c r="M83" s="276"/>
      <c r="N83" s="276"/>
      <c r="O83" s="276"/>
      <c r="P83" s="276"/>
      <c r="Q83" s="276"/>
      <c r="R83" s="276"/>
      <c r="S83" s="276"/>
      <c r="T83" s="276"/>
      <c r="U83" s="276"/>
      <c r="V83" s="276"/>
    </row>
    <row r="84" spans="2:22" ht="17.25" customHeight="1">
      <c r="B84" s="447"/>
      <c r="C84" s="56" t="s">
        <v>383</v>
      </c>
      <c r="D84" s="276"/>
      <c r="E84" s="276"/>
      <c r="F84" s="276"/>
      <c r="G84" s="276"/>
      <c r="H84" s="276"/>
      <c r="I84" s="276"/>
      <c r="J84" s="276"/>
      <c r="K84" s="276"/>
      <c r="L84" s="276"/>
      <c r="M84" s="276"/>
      <c r="N84" s="276"/>
      <c r="O84" s="276"/>
      <c r="P84" s="276"/>
      <c r="Q84" s="276"/>
      <c r="R84" s="276"/>
      <c r="S84" s="276"/>
      <c r="T84" s="276"/>
      <c r="U84" s="276"/>
      <c r="V84" s="276"/>
    </row>
    <row r="85" spans="2:22" ht="17.25" customHeight="1">
      <c r="B85" s="447"/>
      <c r="C85" s="56" t="s">
        <v>384</v>
      </c>
      <c r="D85" s="276"/>
      <c r="E85" s="276"/>
      <c r="F85" s="276"/>
      <c r="G85" s="276"/>
      <c r="H85" s="276"/>
      <c r="I85" s="276"/>
      <c r="J85" s="276"/>
      <c r="K85" s="276"/>
      <c r="L85" s="276"/>
      <c r="M85" s="276"/>
      <c r="N85" s="276"/>
      <c r="O85" s="276"/>
      <c r="P85" s="276"/>
      <c r="Q85" s="276"/>
      <c r="R85" s="276"/>
      <c r="S85" s="276"/>
      <c r="T85" s="276"/>
      <c r="U85" s="276"/>
      <c r="V85" s="276"/>
    </row>
    <row r="86" spans="2:22" ht="17.25" customHeight="1">
      <c r="B86" s="447"/>
      <c r="C86" s="56" t="s">
        <v>295</v>
      </c>
      <c r="D86" s="276"/>
      <c r="E86" s="276"/>
      <c r="F86" s="276"/>
      <c r="G86" s="276"/>
      <c r="H86" s="276"/>
      <c r="I86" s="276"/>
      <c r="J86" s="276"/>
      <c r="K86" s="276"/>
      <c r="L86" s="276"/>
      <c r="M86" s="276"/>
      <c r="N86" s="276"/>
      <c r="O86" s="276"/>
      <c r="P86" s="276"/>
      <c r="Q86" s="276"/>
      <c r="R86" s="276"/>
      <c r="S86" s="276"/>
      <c r="T86" s="276"/>
      <c r="U86" s="276"/>
      <c r="V86" s="276"/>
    </row>
    <row r="87" spans="2:22" ht="41.25">
      <c r="B87" s="447"/>
      <c r="C87" s="274"/>
      <c r="D87" s="276"/>
      <c r="E87" s="454" t="s">
        <v>795</v>
      </c>
      <c r="F87" s="454" t="s">
        <v>796</v>
      </c>
      <c r="G87" s="454" t="s">
        <v>797</v>
      </c>
      <c r="H87" s="460" t="s">
        <v>113</v>
      </c>
      <c r="I87" s="276"/>
      <c r="J87" s="276"/>
      <c r="K87" s="276"/>
      <c r="L87" s="276"/>
      <c r="M87" s="276"/>
      <c r="N87" s="276"/>
      <c r="O87" s="276"/>
      <c r="P87" s="276"/>
      <c r="Q87" s="276"/>
      <c r="R87" s="276"/>
      <c r="S87" s="276"/>
      <c r="T87" s="276"/>
      <c r="U87" s="276"/>
      <c r="V87" s="276"/>
    </row>
    <row r="88" spans="2:22" ht="12.75" customHeight="1">
      <c r="B88" s="447"/>
      <c r="C88" s="137" t="s">
        <v>798</v>
      </c>
      <c r="E88" s="137">
        <v>11440.4</v>
      </c>
      <c r="F88" s="276">
        <v>41412.27</v>
      </c>
      <c r="G88" s="276">
        <v>21594.56</v>
      </c>
      <c r="H88" s="276">
        <f>SUM(E88:G88)</f>
        <v>74447.23</v>
      </c>
      <c r="I88" s="276"/>
      <c r="J88" s="276"/>
      <c r="K88" s="276"/>
      <c r="L88" s="276"/>
      <c r="M88" s="276"/>
      <c r="N88" s="276"/>
      <c r="O88" s="276"/>
      <c r="P88" s="276"/>
      <c r="Q88" s="276"/>
      <c r="R88" s="276"/>
      <c r="S88" s="276"/>
      <c r="T88" s="276"/>
      <c r="U88" s="276"/>
      <c r="V88" s="276"/>
    </row>
    <row r="89" spans="2:22" ht="12.75" customHeight="1">
      <c r="B89" s="447"/>
      <c r="C89" s="137" t="s">
        <v>799</v>
      </c>
      <c r="E89" s="137">
        <v>11440.4</v>
      </c>
      <c r="F89" s="276">
        <v>41412.27</v>
      </c>
      <c r="G89" s="276">
        <v>21594.56</v>
      </c>
      <c r="H89" s="276">
        <f aca="true" t="shared" si="11" ref="H89:H98">SUM(E89:G89)</f>
        <v>74447.23</v>
      </c>
      <c r="I89" s="276"/>
      <c r="J89" s="276"/>
      <c r="K89" s="276"/>
      <c r="L89" s="276"/>
      <c r="M89" s="276"/>
      <c r="N89" s="276"/>
      <c r="O89" s="276"/>
      <c r="P89" s="276"/>
      <c r="Q89" s="276"/>
      <c r="R89" s="276"/>
      <c r="S89" s="276"/>
      <c r="T89" s="276"/>
      <c r="U89" s="276"/>
      <c r="V89" s="276"/>
    </row>
    <row r="90" spans="2:22" ht="12.75" customHeight="1">
      <c r="B90" s="447"/>
      <c r="C90" s="137" t="s">
        <v>800</v>
      </c>
      <c r="E90" s="137">
        <v>11440.4</v>
      </c>
      <c r="F90" s="276">
        <v>41412.27</v>
      </c>
      <c r="G90" s="276">
        <v>21594.56</v>
      </c>
      <c r="H90" s="276">
        <f t="shared" si="11"/>
        <v>74447.23</v>
      </c>
      <c r="I90" s="276"/>
      <c r="J90" s="276"/>
      <c r="K90" s="276"/>
      <c r="L90" s="276"/>
      <c r="M90" s="276"/>
      <c r="N90" s="276"/>
      <c r="O90" s="276"/>
      <c r="P90" s="276"/>
      <c r="Q90" s="276"/>
      <c r="R90" s="276"/>
      <c r="S90" s="276"/>
      <c r="T90" s="276"/>
      <c r="U90" s="276"/>
      <c r="V90" s="276"/>
    </row>
    <row r="91" spans="2:22" ht="12.75" customHeight="1">
      <c r="B91" s="447"/>
      <c r="C91" s="137" t="s">
        <v>801</v>
      </c>
      <c r="E91" s="137">
        <v>13937.15</v>
      </c>
      <c r="F91" s="276">
        <v>41412.27</v>
      </c>
      <c r="G91" s="276">
        <v>21594.56</v>
      </c>
      <c r="H91" s="276">
        <f t="shared" si="11"/>
        <v>76943.98</v>
      </c>
      <c r="I91" s="276"/>
      <c r="J91" s="276"/>
      <c r="K91" s="276"/>
      <c r="L91" s="276"/>
      <c r="M91" s="276"/>
      <c r="N91" s="276"/>
      <c r="O91" s="276"/>
      <c r="P91" s="276"/>
      <c r="Q91" s="276"/>
      <c r="R91" s="276"/>
      <c r="S91" s="276"/>
      <c r="T91" s="276"/>
      <c r="U91" s="276"/>
      <c r="V91" s="276"/>
    </row>
    <row r="92" spans="2:22" ht="12.75" customHeight="1">
      <c r="B92" s="447"/>
      <c r="C92" s="137" t="s">
        <v>802</v>
      </c>
      <c r="E92" s="137">
        <v>13937.15</v>
      </c>
      <c r="F92" s="276">
        <v>51683.82</v>
      </c>
      <c r="G92" s="276">
        <v>139359.12</v>
      </c>
      <c r="H92" s="276">
        <f t="shared" si="11"/>
        <v>204980.09</v>
      </c>
      <c r="I92" s="276"/>
      <c r="J92" s="276"/>
      <c r="K92" s="276"/>
      <c r="L92" s="276"/>
      <c r="M92" s="276"/>
      <c r="N92" s="276"/>
      <c r="O92" s="276"/>
      <c r="P92" s="276"/>
      <c r="Q92" s="276"/>
      <c r="R92" s="276"/>
      <c r="S92" s="276"/>
      <c r="T92" s="276"/>
      <c r="U92" s="276"/>
      <c r="V92" s="276"/>
    </row>
    <row r="93" spans="2:22" ht="12.75" customHeight="1">
      <c r="B93" s="447"/>
      <c r="C93" s="137" t="s">
        <v>803</v>
      </c>
      <c r="E93" s="137">
        <v>15619.86</v>
      </c>
      <c r="F93" s="276">
        <v>51683.82</v>
      </c>
      <c r="G93" s="276">
        <v>173429.31</v>
      </c>
      <c r="H93" s="276">
        <f t="shared" si="11"/>
        <v>240732.99</v>
      </c>
      <c r="I93" s="276"/>
      <c r="J93" s="276"/>
      <c r="K93" s="276"/>
      <c r="L93" s="276"/>
      <c r="M93" s="276"/>
      <c r="N93" s="276"/>
      <c r="O93" s="276"/>
      <c r="P93" s="276"/>
      <c r="Q93" s="276"/>
      <c r="R93" s="276"/>
      <c r="S93" s="276"/>
      <c r="T93" s="276"/>
      <c r="U93" s="276"/>
      <c r="V93" s="276"/>
    </row>
    <row r="94" spans="2:22" ht="12.75" customHeight="1">
      <c r="B94" s="447"/>
      <c r="C94" s="137" t="s">
        <v>804</v>
      </c>
      <c r="E94" s="137">
        <v>20721.5</v>
      </c>
      <c r="F94" s="276">
        <v>51683.82</v>
      </c>
      <c r="G94" s="276">
        <v>340593.87</v>
      </c>
      <c r="H94" s="276">
        <f t="shared" si="11"/>
        <v>412999.19</v>
      </c>
      <c r="I94" s="276"/>
      <c r="J94" s="276"/>
      <c r="K94" s="276"/>
      <c r="L94" s="276"/>
      <c r="M94" s="276"/>
      <c r="N94" s="276"/>
      <c r="O94" s="276"/>
      <c r="P94" s="276"/>
      <c r="Q94" s="276"/>
      <c r="R94" s="276"/>
      <c r="S94" s="276"/>
      <c r="T94" s="276"/>
      <c r="U94" s="276"/>
      <c r="V94" s="276"/>
    </row>
    <row r="95" spans="2:22" ht="12.75" customHeight="1">
      <c r="B95" s="447"/>
      <c r="C95" s="137" t="s">
        <v>805</v>
      </c>
      <c r="E95" s="137">
        <v>19107.58</v>
      </c>
      <c r="F95" s="276">
        <v>46818.79</v>
      </c>
      <c r="G95" s="276">
        <v>263783.62</v>
      </c>
      <c r="H95" s="276">
        <f t="shared" si="11"/>
        <v>329709.99</v>
      </c>
      <c r="I95" s="276"/>
      <c r="J95" s="276"/>
      <c r="K95" s="276"/>
      <c r="L95" s="276"/>
      <c r="M95" s="276"/>
      <c r="N95" s="276"/>
      <c r="O95" s="276"/>
      <c r="P95" s="276"/>
      <c r="Q95" s="276"/>
      <c r="R95" s="276"/>
      <c r="S95" s="276"/>
      <c r="T95" s="276"/>
      <c r="U95" s="276"/>
      <c r="V95" s="276"/>
    </row>
    <row r="96" spans="2:22" ht="12.75" customHeight="1">
      <c r="B96" s="447"/>
      <c r="C96" s="137" t="s">
        <v>806</v>
      </c>
      <c r="E96" s="137">
        <v>19107.58</v>
      </c>
      <c r="F96" s="276">
        <v>46818.79</v>
      </c>
      <c r="G96" s="276">
        <v>266258.61</v>
      </c>
      <c r="H96" s="276">
        <f t="shared" si="11"/>
        <v>332184.98</v>
      </c>
      <c r="I96" s="276"/>
      <c r="J96" s="276"/>
      <c r="K96" s="276"/>
      <c r="L96" s="276"/>
      <c r="M96" s="276"/>
      <c r="N96" s="276"/>
      <c r="O96" s="276"/>
      <c r="P96" s="276"/>
      <c r="Q96" s="276"/>
      <c r="R96" s="276"/>
      <c r="S96" s="276"/>
      <c r="T96" s="276"/>
      <c r="U96" s="276"/>
      <c r="V96" s="276"/>
    </row>
    <row r="97" spans="2:22" ht="12.75" customHeight="1">
      <c r="B97" s="447"/>
      <c r="C97" s="137" t="s">
        <v>807</v>
      </c>
      <c r="E97" s="137">
        <v>19107.58</v>
      </c>
      <c r="F97" s="276">
        <v>46818.79</v>
      </c>
      <c r="G97" s="276">
        <v>266258.61</v>
      </c>
      <c r="H97" s="276">
        <f t="shared" si="11"/>
        <v>332184.98</v>
      </c>
      <c r="I97" s="276"/>
      <c r="J97" s="276"/>
      <c r="K97" s="276"/>
      <c r="L97" s="276"/>
      <c r="M97" s="276"/>
      <c r="N97" s="276"/>
      <c r="O97" s="276"/>
      <c r="P97" s="276"/>
      <c r="Q97" s="276"/>
      <c r="R97" s="276"/>
      <c r="S97" s="276"/>
      <c r="T97" s="276"/>
      <c r="U97" s="276"/>
      <c r="V97" s="276"/>
    </row>
    <row r="98" spans="2:22" ht="12.75" customHeight="1">
      <c r="B98" s="447"/>
      <c r="C98" s="137" t="s">
        <v>808</v>
      </c>
      <c r="E98" s="137">
        <v>19107.58</v>
      </c>
      <c r="F98" s="276">
        <v>46818.79</v>
      </c>
      <c r="G98" s="276">
        <v>266258.61</v>
      </c>
      <c r="H98" s="276">
        <f t="shared" si="11"/>
        <v>332184.98</v>
      </c>
      <c r="I98" s="276"/>
      <c r="J98" s="276"/>
      <c r="K98" s="276"/>
      <c r="L98" s="276"/>
      <c r="M98" s="276"/>
      <c r="N98" s="276"/>
      <c r="O98" s="276"/>
      <c r="P98" s="276"/>
      <c r="Q98" s="276"/>
      <c r="R98" s="276"/>
      <c r="S98" s="276"/>
      <c r="T98" s="276"/>
      <c r="U98" s="276"/>
      <c r="V98" s="276"/>
    </row>
    <row r="99" spans="2:22" ht="12.75" customHeight="1">
      <c r="B99" s="447"/>
      <c r="C99" s="137" t="s">
        <v>809</v>
      </c>
      <c r="E99" s="455">
        <v>22608.82</v>
      </c>
      <c r="F99" s="456">
        <v>55397.81</v>
      </c>
      <c r="G99" s="456">
        <v>315047.5</v>
      </c>
      <c r="H99" s="456">
        <f>SUM(E99:G99)</f>
        <v>393054.13</v>
      </c>
      <c r="I99" s="276"/>
      <c r="J99" s="276"/>
      <c r="K99" s="276"/>
      <c r="L99" s="276"/>
      <c r="M99" s="276"/>
      <c r="N99" s="276"/>
      <c r="O99" s="276"/>
      <c r="P99" s="276"/>
      <c r="Q99" s="276"/>
      <c r="R99" s="276"/>
      <c r="S99" s="276"/>
      <c r="T99" s="276"/>
      <c r="U99" s="276"/>
      <c r="V99" s="276"/>
    </row>
    <row r="100" spans="2:22" ht="12.75" customHeight="1">
      <c r="B100" s="447"/>
      <c r="C100" s="137" t="s">
        <v>810</v>
      </c>
      <c r="E100" s="137">
        <f>SUM(E88:E99)</f>
        <v>197576.00000000006</v>
      </c>
      <c r="F100" s="137">
        <f>SUM(F88:F99)</f>
        <v>563373.5099999999</v>
      </c>
      <c r="G100" s="137">
        <f>SUM(G88:G99)</f>
        <v>2117367.4899999998</v>
      </c>
      <c r="H100" s="137">
        <f>SUM(H88:H99)</f>
        <v>2878316.9999999995</v>
      </c>
      <c r="I100" s="276"/>
      <c r="J100" s="276"/>
      <c r="K100" s="276"/>
      <c r="L100" s="276"/>
      <c r="M100" s="276"/>
      <c r="N100" s="276"/>
      <c r="O100" s="276"/>
      <c r="P100" s="276"/>
      <c r="Q100" s="276"/>
      <c r="R100" s="276"/>
      <c r="S100" s="276"/>
      <c r="T100" s="276"/>
      <c r="U100" s="276"/>
      <c r="V100" s="276"/>
    </row>
    <row r="101" spans="3:22" ht="12.75">
      <c r="C101" s="276"/>
      <c r="D101" s="276"/>
      <c r="E101" s="276"/>
      <c r="F101" s="276"/>
      <c r="G101" s="276"/>
      <c r="H101" s="276"/>
      <c r="I101" s="276"/>
      <c r="J101" s="276"/>
      <c r="K101" s="276"/>
      <c r="L101" s="276"/>
      <c r="M101" s="276"/>
      <c r="N101" s="276"/>
      <c r="O101" s="276"/>
      <c r="P101" s="276"/>
      <c r="Q101" s="276"/>
      <c r="R101" s="276"/>
      <c r="S101" s="276"/>
      <c r="T101" s="276"/>
      <c r="U101" s="276"/>
      <c r="V101" s="276"/>
    </row>
    <row r="102" spans="3:22" ht="15">
      <c r="C102" s="459" t="s">
        <v>633</v>
      </c>
      <c r="D102" s="276"/>
      <c r="E102" s="276"/>
      <c r="F102" s="276"/>
      <c r="G102" s="276"/>
      <c r="H102" s="276"/>
      <c r="I102" s="276"/>
      <c r="J102" s="276"/>
      <c r="K102" s="276"/>
      <c r="L102" s="276"/>
      <c r="M102" s="276"/>
      <c r="N102" s="276"/>
      <c r="O102" s="276"/>
      <c r="P102" s="276"/>
      <c r="Q102" s="276"/>
      <c r="R102" s="276"/>
      <c r="S102" s="276"/>
      <c r="T102" s="276"/>
      <c r="U102" s="276"/>
      <c r="V102" s="276"/>
    </row>
    <row r="103" spans="3:22" ht="15">
      <c r="C103" s="459" t="s">
        <v>634</v>
      </c>
      <c r="D103" s="276"/>
      <c r="E103" s="276"/>
      <c r="F103" s="276"/>
      <c r="G103" s="276"/>
      <c r="H103" s="276"/>
      <c r="I103" s="276"/>
      <c r="J103" s="276"/>
      <c r="K103" s="276"/>
      <c r="L103" s="276"/>
      <c r="M103" s="276"/>
      <c r="N103" s="276"/>
      <c r="O103" s="276"/>
      <c r="P103" s="276"/>
      <c r="Q103" s="276"/>
      <c r="R103" s="276"/>
      <c r="S103" s="276"/>
      <c r="T103" s="276"/>
      <c r="U103" s="276"/>
      <c r="V103" s="276"/>
    </row>
    <row r="104" spans="3:22" ht="12.75">
      <c r="C104" s="276"/>
      <c r="D104" s="276"/>
      <c r="E104" s="276"/>
      <c r="F104" s="276"/>
      <c r="G104" s="276"/>
      <c r="H104" s="276"/>
      <c r="I104" s="276"/>
      <c r="J104" s="276"/>
      <c r="K104" s="276"/>
      <c r="L104" s="276"/>
      <c r="M104" s="276"/>
      <c r="N104" s="276"/>
      <c r="O104" s="276"/>
      <c r="P104" s="276"/>
      <c r="Q104" s="276"/>
      <c r="R104" s="276"/>
      <c r="S104" s="276"/>
      <c r="T104" s="276"/>
      <c r="U104" s="276"/>
      <c r="V104" s="276"/>
    </row>
    <row r="105" spans="3:22" ht="15.75">
      <c r="C105" s="390" t="s">
        <v>785</v>
      </c>
      <c r="D105" s="276"/>
      <c r="E105" s="276"/>
      <c r="F105" s="276"/>
      <c r="G105" s="276"/>
      <c r="H105" s="276"/>
      <c r="I105" s="276"/>
      <c r="J105" s="276"/>
      <c r="K105" s="276"/>
      <c r="L105" s="276"/>
      <c r="M105" s="276"/>
      <c r="N105" s="276"/>
      <c r="O105" s="276"/>
      <c r="P105" s="276"/>
      <c r="Q105" s="276"/>
      <c r="R105" s="276"/>
      <c r="S105" s="276"/>
      <c r="T105" s="276"/>
      <c r="U105" s="276"/>
      <c r="V105" s="276"/>
    </row>
    <row r="106" spans="3:22" ht="15">
      <c r="C106" s="390" t="s">
        <v>786</v>
      </c>
      <c r="D106" s="276"/>
      <c r="E106" s="276"/>
      <c r="F106" s="276"/>
      <c r="G106" s="276"/>
      <c r="H106" s="276"/>
      <c r="I106" s="276"/>
      <c r="J106" s="276"/>
      <c r="K106" s="276"/>
      <c r="L106" s="276"/>
      <c r="M106" s="276"/>
      <c r="N106" s="276"/>
      <c r="O106" s="276"/>
      <c r="P106" s="276"/>
      <c r="Q106" s="276"/>
      <c r="R106" s="276"/>
      <c r="S106" s="276"/>
      <c r="T106" s="276"/>
      <c r="U106" s="276"/>
      <c r="V106" s="276"/>
    </row>
    <row r="107" spans="3:22" ht="12.75">
      <c r="C107" s="276"/>
      <c r="D107" s="276"/>
      <c r="E107" s="276"/>
      <c r="F107" s="276"/>
      <c r="G107" s="276"/>
      <c r="H107" s="276"/>
      <c r="I107" s="276"/>
      <c r="J107" s="276"/>
      <c r="K107" s="276"/>
      <c r="L107" s="276"/>
      <c r="M107" s="276"/>
      <c r="N107" s="276"/>
      <c r="O107" s="276"/>
      <c r="P107" s="276"/>
      <c r="Q107" s="276"/>
      <c r="R107" s="276"/>
      <c r="S107" s="276"/>
      <c r="T107" s="276"/>
      <c r="U107" s="276"/>
      <c r="V107" s="276"/>
    </row>
    <row r="108" spans="2:3" ht="17.25" customHeight="1">
      <c r="B108" s="446"/>
      <c r="C108" s="390" t="s">
        <v>783</v>
      </c>
    </row>
    <row r="109" spans="2:3" ht="17.25" customHeight="1">
      <c r="B109" s="446"/>
      <c r="C109" s="457" t="s">
        <v>784</v>
      </c>
    </row>
    <row r="111" spans="1:3" ht="17.25">
      <c r="A111" s="100"/>
      <c r="B111" s="100"/>
      <c r="C111" s="136" t="s">
        <v>70</v>
      </c>
    </row>
    <row r="112" spans="1:3" ht="12.75" customHeight="1">
      <c r="A112" s="100"/>
      <c r="B112" s="100"/>
      <c r="C112" s="106"/>
    </row>
    <row r="113" ht="15">
      <c r="C113" s="445" t="s">
        <v>37</v>
      </c>
    </row>
  </sheetData>
  <mergeCells count="2">
    <mergeCell ref="E52:K52"/>
    <mergeCell ref="M52:R52"/>
  </mergeCells>
  <printOptions horizontalCentered="1"/>
  <pageMargins left="0" right="0.5" top="0.5" bottom="0.25" header="0.5" footer="0.26"/>
  <pageSetup horizontalDpi="600" verticalDpi="600" orientation="landscape" scale="45" r:id="rId1"/>
  <headerFooter alignWithMargins="0">
    <oddFooter>&amp;L&amp;D&amp;R&amp;F, &amp;A</oddFooter>
  </headerFooter>
  <rowBreaks count="1" manualBreakCount="1">
    <brk id="72" max="20" man="1"/>
  </rowBreaks>
</worksheet>
</file>

<file path=xl/worksheets/sheet5.xml><?xml version="1.0" encoding="utf-8"?>
<worksheet xmlns="http://schemas.openxmlformats.org/spreadsheetml/2006/main" xmlns:r="http://schemas.openxmlformats.org/officeDocument/2006/relationships">
  <sheetPr>
    <pageSetUpPr fitToPage="1"/>
  </sheetPr>
  <dimension ref="A1:BQ3083"/>
  <sheetViews>
    <sheetView view="pageBreakPreview" zoomScale="75" zoomScaleNormal="75" zoomScaleSheetLayoutView="75" workbookViewId="0" topLeftCell="A1">
      <selection activeCell="E133" sqref="E133"/>
    </sheetView>
  </sheetViews>
  <sheetFormatPr defaultColWidth="8.88671875" defaultRowHeight="15"/>
  <cols>
    <col min="1" max="1" width="1.99609375" style="154" customWidth="1"/>
    <col min="2" max="2" width="10.5546875" style="154" customWidth="1"/>
    <col min="3" max="3" width="6.77734375" style="154" customWidth="1"/>
    <col min="4" max="4" width="11.3359375" style="154" customWidth="1"/>
    <col min="5" max="5" width="9.88671875" style="154" customWidth="1"/>
    <col min="6" max="6" width="12.21484375" style="154" customWidth="1"/>
    <col min="7" max="8" width="11.4453125" style="154" customWidth="1"/>
    <col min="9" max="9" width="10.6640625" style="154" customWidth="1"/>
    <col min="10" max="10" width="9.99609375" style="154" customWidth="1"/>
    <col min="11" max="12" width="12.21484375" style="154" customWidth="1"/>
    <col min="13" max="17" width="11.4453125" style="154" customWidth="1"/>
    <col min="18" max="18" width="6.88671875" style="154" customWidth="1"/>
    <col min="19" max="22" width="11.4453125" style="154" customWidth="1"/>
    <col min="23" max="24" width="12.21484375" style="154" customWidth="1"/>
    <col min="25" max="97" width="11.4453125" style="154" customWidth="1"/>
    <col min="98" max="16384" width="8.88671875" style="154" customWidth="1"/>
  </cols>
  <sheetData>
    <row r="1" spans="1:17" ht="20.25">
      <c r="A1" s="364" t="s">
        <v>11</v>
      </c>
      <c r="Q1" s="371" t="s">
        <v>344</v>
      </c>
    </row>
    <row r="2" ht="15"/>
    <row r="3" spans="2:12" ht="18">
      <c r="B3" s="520" t="s">
        <v>665</v>
      </c>
      <c r="C3" s="516"/>
      <c r="D3" s="516"/>
      <c r="E3" s="516"/>
      <c r="F3" s="516"/>
      <c r="G3" s="516"/>
      <c r="H3" s="516"/>
      <c r="I3" s="516"/>
      <c r="J3" s="516"/>
      <c r="K3" s="516"/>
      <c r="L3" s="510"/>
    </row>
    <row r="4" spans="2:12" ht="18">
      <c r="B4" s="520" t="s">
        <v>38</v>
      </c>
      <c r="C4" s="516"/>
      <c r="D4" s="516"/>
      <c r="E4" s="516"/>
      <c r="F4" s="516"/>
      <c r="G4" s="516"/>
      <c r="H4" s="516"/>
      <c r="I4" s="516"/>
      <c r="J4" s="516"/>
      <c r="K4" s="516"/>
      <c r="L4" s="510"/>
    </row>
    <row r="5" spans="2:32" ht="18">
      <c r="B5" s="312"/>
      <c r="C5" s="312"/>
      <c r="G5" s="425" t="s">
        <v>733</v>
      </c>
      <c r="H5" s="426">
        <v>2005</v>
      </c>
      <c r="U5" s="174"/>
      <c r="X5" s="313"/>
      <c r="Y5" s="313"/>
      <c r="Z5" s="313"/>
      <c r="AA5" s="313"/>
      <c r="AB5" s="313"/>
      <c r="AC5" s="313"/>
      <c r="AD5" s="313"/>
      <c r="AE5" s="313"/>
      <c r="AF5" s="313"/>
    </row>
    <row r="6" spans="2:32" ht="15.75">
      <c r="B6" s="312"/>
      <c r="C6" s="312"/>
      <c r="G6" s="424"/>
      <c r="U6" s="174"/>
      <c r="X6" s="313"/>
      <c r="Y6" s="313"/>
      <c r="Z6" s="313"/>
      <c r="AA6" s="313"/>
      <c r="AB6" s="313"/>
      <c r="AC6" s="313"/>
      <c r="AD6" s="313"/>
      <c r="AE6" s="313"/>
      <c r="AF6" s="313"/>
    </row>
    <row r="7" spans="2:42" ht="18">
      <c r="B7" s="448" t="s">
        <v>13</v>
      </c>
      <c r="C7" s="314"/>
      <c r="D7" s="315"/>
      <c r="E7" s="316"/>
      <c r="F7" s="315"/>
      <c r="G7" s="317"/>
      <c r="H7" s="317"/>
      <c r="I7" s="317"/>
      <c r="J7" s="317"/>
      <c r="K7" s="317"/>
      <c r="L7" s="318"/>
      <c r="M7" s="318"/>
      <c r="N7" s="318"/>
      <c r="O7" s="318"/>
      <c r="P7" s="318"/>
      <c r="Q7" s="318"/>
      <c r="R7" s="318"/>
      <c r="S7" s="319"/>
      <c r="T7" s="319"/>
      <c r="U7" s="319"/>
      <c r="V7" s="319"/>
      <c r="W7" s="318"/>
      <c r="X7" s="318"/>
      <c r="Y7" s="318"/>
      <c r="Z7" s="318"/>
      <c r="AA7" s="318"/>
      <c r="AB7" s="318"/>
      <c r="AC7" s="318"/>
      <c r="AD7" s="318"/>
      <c r="AE7" s="318"/>
      <c r="AF7" s="318"/>
      <c r="AG7" s="318"/>
      <c r="AH7" s="318"/>
      <c r="AI7" s="318"/>
      <c r="AJ7" s="318"/>
      <c r="AK7" s="318"/>
      <c r="AL7" s="318"/>
      <c r="AM7" s="318"/>
      <c r="AN7" s="318"/>
      <c r="AO7" s="318"/>
      <c r="AP7" s="318"/>
    </row>
    <row r="8" spans="2:42" ht="15">
      <c r="B8" s="312"/>
      <c r="C8" s="172"/>
      <c r="D8" s="318"/>
      <c r="E8" s="318"/>
      <c r="F8" s="318"/>
      <c r="G8" s="318"/>
      <c r="H8" s="318"/>
      <c r="I8" s="318"/>
      <c r="J8" s="318"/>
      <c r="K8" s="318"/>
      <c r="L8" s="318"/>
      <c r="M8" s="318"/>
      <c r="N8" s="318"/>
      <c r="O8" s="318"/>
      <c r="P8" s="318"/>
      <c r="Q8" s="318"/>
      <c r="R8" s="318"/>
      <c r="S8" s="319"/>
      <c r="T8" s="319"/>
      <c r="U8" s="319"/>
      <c r="V8" s="319"/>
      <c r="W8" s="318"/>
      <c r="X8" s="318"/>
      <c r="Y8" s="318"/>
      <c r="Z8" s="318"/>
      <c r="AA8" s="318"/>
      <c r="AB8" s="318"/>
      <c r="AC8" s="318"/>
      <c r="AD8" s="318"/>
      <c r="AE8" s="318"/>
      <c r="AF8" s="318"/>
      <c r="AG8" s="318"/>
      <c r="AH8" s="318"/>
      <c r="AI8" s="318"/>
      <c r="AJ8" s="318"/>
      <c r="AK8" s="318"/>
      <c r="AL8" s="318"/>
      <c r="AM8" s="318"/>
      <c r="AN8" s="318"/>
      <c r="AO8" s="318"/>
      <c r="AP8" s="318"/>
    </row>
    <row r="9" spans="2:42" ht="77.25" customHeight="1">
      <c r="B9" s="320" t="s">
        <v>666</v>
      </c>
      <c r="C9" s="321" t="s">
        <v>667</v>
      </c>
      <c r="D9" s="321" t="s">
        <v>668</v>
      </c>
      <c r="E9" s="322" t="s">
        <v>413</v>
      </c>
      <c r="F9" s="321" t="s">
        <v>669</v>
      </c>
      <c r="G9" s="321" t="s">
        <v>729</v>
      </c>
      <c r="H9" s="321" t="s">
        <v>730</v>
      </c>
      <c r="I9" s="321" t="s">
        <v>670</v>
      </c>
      <c r="J9" s="321" t="s">
        <v>671</v>
      </c>
      <c r="K9" s="321" t="s">
        <v>83</v>
      </c>
      <c r="L9" s="321" t="s">
        <v>672</v>
      </c>
      <c r="M9" s="318"/>
      <c r="N9" s="318"/>
      <c r="O9" s="318"/>
      <c r="P9" s="318"/>
      <c r="Q9" s="318"/>
      <c r="R9" s="318"/>
      <c r="S9" s="319"/>
      <c r="T9" s="319"/>
      <c r="U9" s="319"/>
      <c r="V9" s="319"/>
      <c r="W9" s="318"/>
      <c r="X9" s="318"/>
      <c r="Y9" s="318"/>
      <c r="Z9" s="318"/>
      <c r="AA9" s="318"/>
      <c r="AB9" s="318"/>
      <c r="AC9" s="318"/>
      <c r="AD9" s="318"/>
      <c r="AE9" s="318"/>
      <c r="AF9" s="318"/>
      <c r="AG9" s="318"/>
      <c r="AH9" s="318"/>
      <c r="AI9" s="318"/>
      <c r="AJ9" s="318"/>
      <c r="AK9" s="318"/>
      <c r="AL9" s="318"/>
      <c r="AM9" s="318"/>
      <c r="AN9" s="318"/>
      <c r="AO9" s="318"/>
      <c r="AP9" s="318"/>
    </row>
    <row r="10" spans="2:42" ht="15">
      <c r="B10" s="323">
        <v>38366</v>
      </c>
      <c r="C10" s="324">
        <v>1000</v>
      </c>
      <c r="D10" s="325" t="s">
        <v>673</v>
      </c>
      <c r="E10" s="325" t="s">
        <v>673</v>
      </c>
      <c r="F10" s="326">
        <f aca="true" t="shared" si="0" ref="F10:K21">F33+F51</f>
        <v>3282</v>
      </c>
      <c r="G10" s="326">
        <f t="shared" si="0"/>
        <v>328.2</v>
      </c>
      <c r="H10" s="326">
        <f t="shared" si="0"/>
        <v>690.9</v>
      </c>
      <c r="I10" s="326">
        <f t="shared" si="0"/>
        <v>118.868</v>
      </c>
      <c r="J10" s="326">
        <f t="shared" si="0"/>
        <v>0</v>
      </c>
      <c r="K10" s="326">
        <f t="shared" si="0"/>
        <v>4.346</v>
      </c>
      <c r="L10" s="326">
        <f>F10-G10+H10-I10+J10+K10</f>
        <v>3530.1780000000003</v>
      </c>
      <c r="M10" s="318"/>
      <c r="N10" s="318"/>
      <c r="O10" s="318"/>
      <c r="P10" s="318"/>
      <c r="Q10" s="318"/>
      <c r="R10" s="318"/>
      <c r="S10" s="319"/>
      <c r="T10" s="319"/>
      <c r="U10" s="319"/>
      <c r="V10" s="319"/>
      <c r="W10" s="318"/>
      <c r="X10" s="318"/>
      <c r="Y10" s="318"/>
      <c r="Z10" s="318"/>
      <c r="AA10" s="318"/>
      <c r="AB10" s="318"/>
      <c r="AC10" s="318"/>
      <c r="AD10" s="318"/>
      <c r="AE10" s="318"/>
      <c r="AF10" s="318"/>
      <c r="AG10" s="318"/>
      <c r="AH10" s="318"/>
      <c r="AI10" s="318"/>
      <c r="AJ10" s="318"/>
      <c r="AK10" s="318"/>
      <c r="AL10" s="318"/>
      <c r="AM10" s="318"/>
      <c r="AN10" s="318"/>
      <c r="AO10" s="318"/>
      <c r="AP10" s="318"/>
    </row>
    <row r="11" spans="2:42" ht="15">
      <c r="B11" s="323">
        <v>38391</v>
      </c>
      <c r="C11" s="324">
        <v>1900</v>
      </c>
      <c r="D11" s="325" t="s">
        <v>673</v>
      </c>
      <c r="E11" s="325" t="s">
        <v>673</v>
      </c>
      <c r="F11" s="326">
        <f t="shared" si="0"/>
        <v>3271</v>
      </c>
      <c r="G11" s="326">
        <f t="shared" si="0"/>
        <v>341.3</v>
      </c>
      <c r="H11" s="326">
        <f t="shared" si="0"/>
        <v>690.9</v>
      </c>
      <c r="I11" s="326">
        <f t="shared" si="0"/>
        <v>108.662</v>
      </c>
      <c r="J11" s="326">
        <f t="shared" si="0"/>
        <v>0</v>
      </c>
      <c r="K11" s="326">
        <f t="shared" si="0"/>
        <v>10.515</v>
      </c>
      <c r="L11" s="326">
        <f aca="true" t="shared" si="1" ref="L11:L21">F11-G11+H11-I11+J11+K11</f>
        <v>3522.453</v>
      </c>
      <c r="M11" s="318"/>
      <c r="N11" s="318"/>
      <c r="O11" s="318"/>
      <c r="P11" s="318"/>
      <c r="Q11" s="318"/>
      <c r="R11" s="318"/>
      <c r="S11" s="319"/>
      <c r="T11" s="319"/>
      <c r="U11" s="319"/>
      <c r="V11" s="319"/>
      <c r="W11" s="318"/>
      <c r="X11" s="318"/>
      <c r="Y11" s="318"/>
      <c r="Z11" s="318"/>
      <c r="AA11" s="318"/>
      <c r="AB11" s="318"/>
      <c r="AC11" s="318"/>
      <c r="AD11" s="318"/>
      <c r="AE11" s="318"/>
      <c r="AF11" s="318"/>
      <c r="AG11" s="318"/>
      <c r="AH11" s="318"/>
      <c r="AI11" s="318"/>
      <c r="AJ11" s="318"/>
      <c r="AK11" s="318"/>
      <c r="AL11" s="318"/>
      <c r="AM11" s="318"/>
      <c r="AN11" s="318"/>
      <c r="AO11" s="318"/>
      <c r="AP11" s="318"/>
    </row>
    <row r="12" spans="2:42" ht="15">
      <c r="B12" s="323">
        <v>38433</v>
      </c>
      <c r="C12" s="324">
        <v>2000</v>
      </c>
      <c r="D12" s="325" t="s">
        <v>673</v>
      </c>
      <c r="E12" s="325" t="s">
        <v>673</v>
      </c>
      <c r="F12" s="326">
        <f t="shared" si="0"/>
        <v>2876</v>
      </c>
      <c r="G12" s="326">
        <f t="shared" si="0"/>
        <v>308.2</v>
      </c>
      <c r="H12" s="326">
        <f t="shared" si="0"/>
        <v>690.9</v>
      </c>
      <c r="I12" s="326">
        <f t="shared" si="0"/>
        <v>92.439</v>
      </c>
      <c r="J12" s="326">
        <f t="shared" si="0"/>
        <v>0</v>
      </c>
      <c r="K12" s="326">
        <f t="shared" si="0"/>
        <v>9.145</v>
      </c>
      <c r="L12" s="326">
        <f t="shared" si="1"/>
        <v>3175.4060000000004</v>
      </c>
      <c r="M12" s="318"/>
      <c r="N12" s="318"/>
      <c r="O12" s="318"/>
      <c r="P12" s="318"/>
      <c r="Q12" s="318"/>
      <c r="R12" s="318"/>
      <c r="S12" s="319"/>
      <c r="T12" s="319"/>
      <c r="U12" s="319"/>
      <c r="V12" s="319"/>
      <c r="W12" s="318"/>
      <c r="X12" s="318"/>
      <c r="Y12" s="318"/>
      <c r="Z12" s="318"/>
      <c r="AA12" s="318"/>
      <c r="AB12" s="318"/>
      <c r="AC12" s="318"/>
      <c r="AD12" s="318"/>
      <c r="AE12" s="318"/>
      <c r="AF12" s="318"/>
      <c r="AG12" s="318"/>
      <c r="AH12" s="318"/>
      <c r="AI12" s="318"/>
      <c r="AJ12" s="318"/>
      <c r="AK12" s="318"/>
      <c r="AL12" s="318"/>
      <c r="AM12" s="318"/>
      <c r="AN12" s="318"/>
      <c r="AO12" s="318"/>
      <c r="AP12" s="318"/>
    </row>
    <row r="13" spans="2:42" ht="15">
      <c r="B13" s="323">
        <v>38462</v>
      </c>
      <c r="C13" s="324">
        <v>1700</v>
      </c>
      <c r="D13" s="325" t="s">
        <v>673</v>
      </c>
      <c r="E13" s="325" t="s">
        <v>673</v>
      </c>
      <c r="F13" s="326">
        <f t="shared" si="0"/>
        <v>3171</v>
      </c>
      <c r="G13" s="326">
        <f t="shared" si="0"/>
        <v>268.6</v>
      </c>
      <c r="H13" s="326">
        <f t="shared" si="0"/>
        <v>690.9</v>
      </c>
      <c r="I13" s="326">
        <f t="shared" si="0"/>
        <v>114.984</v>
      </c>
      <c r="J13" s="326">
        <f t="shared" si="0"/>
        <v>0</v>
      </c>
      <c r="K13" s="326">
        <f t="shared" si="0"/>
        <v>10.52</v>
      </c>
      <c r="L13" s="326">
        <f t="shared" si="1"/>
        <v>3488.8360000000002</v>
      </c>
      <c r="M13" s="318"/>
      <c r="N13" s="318"/>
      <c r="O13" s="318"/>
      <c r="P13" s="318"/>
      <c r="Q13" s="318"/>
      <c r="R13" s="318"/>
      <c r="S13" s="319"/>
      <c r="T13" s="319"/>
      <c r="U13" s="319"/>
      <c r="V13" s="319"/>
      <c r="W13" s="318"/>
      <c r="X13" s="318"/>
      <c r="Y13" s="318"/>
      <c r="Z13" s="318"/>
      <c r="AA13" s="318"/>
      <c r="AB13" s="318"/>
      <c r="AC13" s="318"/>
      <c r="AD13" s="318"/>
      <c r="AE13" s="318"/>
      <c r="AF13" s="318"/>
      <c r="AG13" s="318"/>
      <c r="AH13" s="318"/>
      <c r="AI13" s="318"/>
      <c r="AJ13" s="318"/>
      <c r="AK13" s="318"/>
      <c r="AL13" s="318"/>
      <c r="AM13" s="318"/>
      <c r="AN13" s="318"/>
      <c r="AO13" s="318"/>
      <c r="AP13" s="318"/>
    </row>
    <row r="14" spans="2:42" ht="15">
      <c r="B14" s="323">
        <v>38492</v>
      </c>
      <c r="C14" s="324">
        <v>1700</v>
      </c>
      <c r="D14" s="325" t="s">
        <v>673</v>
      </c>
      <c r="E14" s="325" t="s">
        <v>673</v>
      </c>
      <c r="F14" s="326">
        <f t="shared" si="0"/>
        <v>4110</v>
      </c>
      <c r="G14" s="326">
        <f t="shared" si="0"/>
        <v>316.5</v>
      </c>
      <c r="H14" s="326">
        <f t="shared" si="0"/>
        <v>690.9</v>
      </c>
      <c r="I14" s="326">
        <f t="shared" si="0"/>
        <v>132.028</v>
      </c>
      <c r="J14" s="326">
        <f t="shared" si="0"/>
        <v>0</v>
      </c>
      <c r="K14" s="326">
        <f t="shared" si="0"/>
        <v>16.321</v>
      </c>
      <c r="L14" s="326">
        <f t="shared" si="1"/>
        <v>4368.692999999999</v>
      </c>
      <c r="M14" s="318"/>
      <c r="N14" s="318"/>
      <c r="O14" s="318"/>
      <c r="P14" s="318"/>
      <c r="Q14" s="318"/>
      <c r="R14" s="318"/>
      <c r="S14" s="319"/>
      <c r="T14" s="319"/>
      <c r="U14" s="319"/>
      <c r="V14" s="319"/>
      <c r="W14" s="318"/>
      <c r="X14" s="318"/>
      <c r="Y14" s="318"/>
      <c r="Z14" s="318"/>
      <c r="AA14" s="318"/>
      <c r="AB14" s="318"/>
      <c r="AC14" s="318"/>
      <c r="AD14" s="318"/>
      <c r="AE14" s="318"/>
      <c r="AF14" s="318"/>
      <c r="AG14" s="318"/>
      <c r="AH14" s="318"/>
      <c r="AI14" s="318"/>
      <c r="AJ14" s="318"/>
      <c r="AK14" s="318"/>
      <c r="AL14" s="318"/>
      <c r="AM14" s="318"/>
      <c r="AN14" s="318"/>
      <c r="AO14" s="318"/>
      <c r="AP14" s="318"/>
    </row>
    <row r="15" spans="2:42" ht="15">
      <c r="B15" s="323">
        <v>38532</v>
      </c>
      <c r="C15" s="324">
        <v>1700</v>
      </c>
      <c r="D15" s="325" t="s">
        <v>673</v>
      </c>
      <c r="E15" s="325" t="s">
        <v>673</v>
      </c>
      <c r="F15" s="326">
        <f t="shared" si="0"/>
        <v>4856</v>
      </c>
      <c r="G15" s="326">
        <f t="shared" si="0"/>
        <v>179</v>
      </c>
      <c r="H15" s="326">
        <f t="shared" si="0"/>
        <v>387.9</v>
      </c>
      <c r="I15" s="326">
        <f t="shared" si="0"/>
        <v>119.458</v>
      </c>
      <c r="J15" s="326">
        <f t="shared" si="0"/>
        <v>46.416</v>
      </c>
      <c r="K15" s="326">
        <f t="shared" si="0"/>
        <v>19.903</v>
      </c>
      <c r="L15" s="326">
        <f t="shared" si="1"/>
        <v>5011.761</v>
      </c>
      <c r="M15" s="318"/>
      <c r="N15" s="318"/>
      <c r="O15" s="318"/>
      <c r="P15" s="318"/>
      <c r="Q15" s="318"/>
      <c r="R15" s="318"/>
      <c r="S15" s="319"/>
      <c r="T15" s="319"/>
      <c r="U15" s="319"/>
      <c r="V15" s="319"/>
      <c r="W15" s="318"/>
      <c r="X15" s="318"/>
      <c r="Y15" s="318"/>
      <c r="Z15" s="318"/>
      <c r="AA15" s="318"/>
      <c r="AB15" s="318"/>
      <c r="AC15" s="318"/>
      <c r="AD15" s="318"/>
      <c r="AE15" s="318"/>
      <c r="AF15" s="318"/>
      <c r="AG15" s="318"/>
      <c r="AH15" s="318"/>
      <c r="AI15" s="318"/>
      <c r="AJ15" s="318"/>
      <c r="AK15" s="318"/>
      <c r="AL15" s="318"/>
      <c r="AM15" s="318"/>
      <c r="AN15" s="318"/>
      <c r="AO15" s="318"/>
      <c r="AP15" s="318"/>
    </row>
    <row r="16" spans="2:42" ht="15">
      <c r="B16" s="323">
        <v>38558</v>
      </c>
      <c r="C16" s="324">
        <v>1700</v>
      </c>
      <c r="D16" s="325" t="s">
        <v>673</v>
      </c>
      <c r="E16" s="325" t="s">
        <v>673</v>
      </c>
      <c r="F16" s="326">
        <f t="shared" si="0"/>
        <v>5044</v>
      </c>
      <c r="G16" s="326">
        <f t="shared" si="0"/>
        <v>191</v>
      </c>
      <c r="H16" s="326">
        <f t="shared" si="0"/>
        <v>387.9</v>
      </c>
      <c r="I16" s="326">
        <f t="shared" si="0"/>
        <v>126.515</v>
      </c>
      <c r="J16" s="326">
        <f t="shared" si="0"/>
        <v>50.237</v>
      </c>
      <c r="K16" s="326">
        <f t="shared" si="0"/>
        <v>20.761</v>
      </c>
      <c r="L16" s="326">
        <f t="shared" si="1"/>
        <v>5185.383</v>
      </c>
      <c r="M16" s="318"/>
      <c r="N16" s="318"/>
      <c r="O16" s="318"/>
      <c r="P16" s="318"/>
      <c r="Q16" s="318"/>
      <c r="R16" s="318"/>
      <c r="S16" s="319"/>
      <c r="T16" s="319"/>
      <c r="U16" s="319"/>
      <c r="V16" s="319"/>
      <c r="W16" s="318"/>
      <c r="X16" s="318"/>
      <c r="Y16" s="318"/>
      <c r="Z16" s="318"/>
      <c r="AA16" s="318"/>
      <c r="AB16" s="318"/>
      <c r="AC16" s="318"/>
      <c r="AD16" s="318"/>
      <c r="AE16" s="318"/>
      <c r="AF16" s="318"/>
      <c r="AG16" s="318"/>
      <c r="AH16" s="318"/>
      <c r="AI16" s="318"/>
      <c r="AJ16" s="318"/>
      <c r="AK16" s="318"/>
      <c r="AL16" s="318"/>
      <c r="AM16" s="318"/>
      <c r="AN16" s="318"/>
      <c r="AO16" s="318"/>
      <c r="AP16" s="318"/>
    </row>
    <row r="17" spans="2:42" ht="12.75" customHeight="1">
      <c r="B17" s="323">
        <v>38582</v>
      </c>
      <c r="C17" s="324">
        <v>1700</v>
      </c>
      <c r="D17" s="325" t="s">
        <v>673</v>
      </c>
      <c r="E17" s="325" t="s">
        <v>673</v>
      </c>
      <c r="F17" s="326">
        <f t="shared" si="0"/>
        <v>5057</v>
      </c>
      <c r="G17" s="326">
        <f t="shared" si="0"/>
        <v>187</v>
      </c>
      <c r="H17" s="326">
        <f t="shared" si="0"/>
        <v>387.9</v>
      </c>
      <c r="I17" s="326">
        <f t="shared" si="0"/>
        <v>126.093</v>
      </c>
      <c r="J17" s="326">
        <f t="shared" si="0"/>
        <v>40.447</v>
      </c>
      <c r="K17" s="326">
        <f t="shared" si="0"/>
        <v>21.496</v>
      </c>
      <c r="L17" s="326">
        <f t="shared" si="1"/>
        <v>5193.75</v>
      </c>
      <c r="M17" s="318"/>
      <c r="N17" s="318"/>
      <c r="O17" s="318"/>
      <c r="P17" s="318"/>
      <c r="Q17" s="318"/>
      <c r="R17" s="318"/>
      <c r="S17" s="319"/>
      <c r="T17" s="319"/>
      <c r="U17" s="319"/>
      <c r="V17" s="319"/>
      <c r="W17" s="318"/>
      <c r="X17" s="318"/>
      <c r="Y17" s="318"/>
      <c r="Z17" s="318"/>
      <c r="AA17" s="318"/>
      <c r="AB17" s="318"/>
      <c r="AC17" s="318"/>
      <c r="AD17" s="318"/>
      <c r="AE17" s="318"/>
      <c r="AF17" s="318"/>
      <c r="AG17" s="318"/>
      <c r="AH17" s="318"/>
      <c r="AI17" s="318"/>
      <c r="AJ17" s="318"/>
      <c r="AK17" s="318"/>
      <c r="AL17" s="318"/>
      <c r="AM17" s="318"/>
      <c r="AN17" s="318"/>
      <c r="AO17" s="318"/>
      <c r="AP17" s="318"/>
    </row>
    <row r="18" spans="2:42" ht="15">
      <c r="B18" s="323">
        <v>38616</v>
      </c>
      <c r="C18" s="324">
        <v>1700</v>
      </c>
      <c r="D18" s="325" t="s">
        <v>673</v>
      </c>
      <c r="E18" s="325" t="s">
        <v>673</v>
      </c>
      <c r="F18" s="326">
        <f t="shared" si="0"/>
        <v>4708</v>
      </c>
      <c r="G18" s="326">
        <f t="shared" si="0"/>
        <v>188</v>
      </c>
      <c r="H18" s="326">
        <f t="shared" si="0"/>
        <v>387.9</v>
      </c>
      <c r="I18" s="326">
        <f t="shared" si="0"/>
        <v>133.752</v>
      </c>
      <c r="J18" s="326">
        <f t="shared" si="0"/>
        <v>28.062</v>
      </c>
      <c r="K18" s="326">
        <f t="shared" si="0"/>
        <v>19.47</v>
      </c>
      <c r="L18" s="326">
        <f t="shared" si="1"/>
        <v>4821.679999999999</v>
      </c>
      <c r="M18" s="318"/>
      <c r="N18" s="318"/>
      <c r="O18" s="318"/>
      <c r="P18" s="318"/>
      <c r="Q18" s="318"/>
      <c r="R18" s="318"/>
      <c r="S18" s="319"/>
      <c r="T18" s="319"/>
      <c r="U18" s="319"/>
      <c r="V18" s="319"/>
      <c r="W18" s="318"/>
      <c r="X18" s="318"/>
      <c r="Y18" s="318"/>
      <c r="Z18" s="318"/>
      <c r="AA18" s="318"/>
      <c r="AB18" s="318"/>
      <c r="AC18" s="318"/>
      <c r="AD18" s="318"/>
      <c r="AE18" s="318"/>
      <c r="AF18" s="318"/>
      <c r="AG18" s="318"/>
      <c r="AH18" s="318"/>
      <c r="AI18" s="318"/>
      <c r="AJ18" s="318"/>
      <c r="AK18" s="318"/>
      <c r="AL18" s="318"/>
      <c r="AM18" s="318"/>
      <c r="AN18" s="318"/>
      <c r="AO18" s="318"/>
      <c r="AP18" s="318"/>
    </row>
    <row r="19" spans="2:42" ht="15">
      <c r="B19" s="323">
        <v>38629</v>
      </c>
      <c r="C19" s="324">
        <v>1700</v>
      </c>
      <c r="D19" s="325" t="s">
        <v>673</v>
      </c>
      <c r="E19" s="325" t="s">
        <v>673</v>
      </c>
      <c r="F19" s="326">
        <f t="shared" si="0"/>
        <v>4231</v>
      </c>
      <c r="G19" s="326">
        <f t="shared" si="0"/>
        <v>172</v>
      </c>
      <c r="H19" s="326">
        <f t="shared" si="0"/>
        <v>387.9</v>
      </c>
      <c r="I19" s="326">
        <f t="shared" si="0"/>
        <v>111.966</v>
      </c>
      <c r="J19" s="326">
        <f t="shared" si="0"/>
        <v>0</v>
      </c>
      <c r="K19" s="326">
        <f t="shared" si="0"/>
        <v>0</v>
      </c>
      <c r="L19" s="326">
        <f t="shared" si="1"/>
        <v>4334.933999999999</v>
      </c>
      <c r="M19" s="319"/>
      <c r="N19" s="319"/>
      <c r="O19" s="319"/>
      <c r="P19" s="319"/>
      <c r="Q19" s="319"/>
      <c r="R19" s="319"/>
      <c r="S19" s="319"/>
      <c r="T19" s="319"/>
      <c r="U19" s="319"/>
      <c r="V19" s="319"/>
      <c r="W19" s="319"/>
      <c r="X19" s="319"/>
      <c r="Y19" s="319"/>
      <c r="Z19" s="319"/>
      <c r="AA19" s="319"/>
      <c r="AB19" s="319"/>
      <c r="AC19" s="319"/>
      <c r="AD19" s="319"/>
      <c r="AE19" s="319"/>
      <c r="AF19" s="318"/>
      <c r="AG19" s="318"/>
      <c r="AH19" s="318"/>
      <c r="AI19" s="318"/>
      <c r="AJ19" s="318"/>
      <c r="AK19" s="318"/>
      <c r="AL19" s="318"/>
      <c r="AM19" s="318"/>
      <c r="AN19" s="318"/>
      <c r="AO19" s="318"/>
      <c r="AP19" s="318"/>
    </row>
    <row r="20" spans="2:42" ht="15">
      <c r="B20" s="323">
        <v>38684</v>
      </c>
      <c r="C20" s="324">
        <v>1900</v>
      </c>
      <c r="D20" s="325" t="s">
        <v>673</v>
      </c>
      <c r="E20" s="325" t="s">
        <v>673</v>
      </c>
      <c r="F20" s="326">
        <f t="shared" si="0"/>
        <v>3415</v>
      </c>
      <c r="G20" s="326">
        <f t="shared" si="0"/>
        <v>170</v>
      </c>
      <c r="H20" s="326">
        <f t="shared" si="0"/>
        <v>387.9</v>
      </c>
      <c r="I20" s="326">
        <f t="shared" si="0"/>
        <v>113.598</v>
      </c>
      <c r="J20" s="326">
        <f t="shared" si="0"/>
        <v>0</v>
      </c>
      <c r="K20" s="326">
        <f t="shared" si="0"/>
        <v>0</v>
      </c>
      <c r="L20" s="326">
        <f t="shared" si="1"/>
        <v>3519.302</v>
      </c>
      <c r="M20" s="319"/>
      <c r="N20" s="319"/>
      <c r="O20" s="319"/>
      <c r="P20" s="319"/>
      <c r="Q20" s="319"/>
      <c r="R20" s="319"/>
      <c r="S20" s="319"/>
      <c r="T20" s="319"/>
      <c r="U20" s="319"/>
      <c r="V20" s="319"/>
      <c r="W20" s="319"/>
      <c r="X20" s="319"/>
      <c r="Y20" s="319"/>
      <c r="Z20" s="319"/>
      <c r="AA20" s="319"/>
      <c r="AB20" s="319"/>
      <c r="AC20" s="319"/>
      <c r="AD20" s="319"/>
      <c r="AE20" s="319"/>
      <c r="AF20" s="318"/>
      <c r="AG20" s="318"/>
      <c r="AH20" s="318"/>
      <c r="AI20" s="318"/>
      <c r="AJ20" s="318"/>
      <c r="AK20" s="318"/>
      <c r="AL20" s="318"/>
      <c r="AM20" s="318"/>
      <c r="AN20" s="318"/>
      <c r="AO20" s="318"/>
      <c r="AP20" s="318"/>
    </row>
    <row r="21" spans="2:42" ht="15">
      <c r="B21" s="323">
        <v>38693</v>
      </c>
      <c r="C21" s="324">
        <v>1900</v>
      </c>
      <c r="D21" s="325" t="s">
        <v>673</v>
      </c>
      <c r="E21" s="325" t="s">
        <v>673</v>
      </c>
      <c r="F21" s="326">
        <f t="shared" si="0"/>
        <v>3784</v>
      </c>
      <c r="G21" s="326">
        <f t="shared" si="0"/>
        <v>159</v>
      </c>
      <c r="H21" s="326">
        <f t="shared" si="0"/>
        <v>387.9</v>
      </c>
      <c r="I21" s="326">
        <f t="shared" si="0"/>
        <v>111.955</v>
      </c>
      <c r="J21" s="326">
        <f t="shared" si="0"/>
        <v>0</v>
      </c>
      <c r="K21" s="326">
        <f t="shared" si="0"/>
        <v>0</v>
      </c>
      <c r="L21" s="326">
        <f t="shared" si="1"/>
        <v>3900.945</v>
      </c>
      <c r="M21" s="319"/>
      <c r="N21" s="319"/>
      <c r="O21" s="319"/>
      <c r="P21" s="319"/>
      <c r="Q21" s="319"/>
      <c r="R21" s="319"/>
      <c r="S21" s="319"/>
      <c r="T21" s="319"/>
      <c r="U21" s="319"/>
      <c r="V21" s="319"/>
      <c r="W21" s="319"/>
      <c r="X21" s="319"/>
      <c r="Y21" s="319"/>
      <c r="Z21" s="319"/>
      <c r="AA21" s="319"/>
      <c r="AB21" s="319"/>
      <c r="AC21" s="319"/>
      <c r="AD21" s="319"/>
      <c r="AE21" s="319"/>
      <c r="AF21" s="318"/>
      <c r="AG21" s="318"/>
      <c r="AH21" s="318"/>
      <c r="AI21" s="318"/>
      <c r="AJ21" s="318"/>
      <c r="AK21" s="318"/>
      <c r="AL21" s="318"/>
      <c r="AM21" s="318"/>
      <c r="AN21" s="318"/>
      <c r="AO21" s="318"/>
      <c r="AP21" s="318"/>
    </row>
    <row r="22" spans="2:42" ht="15">
      <c r="B22" s="327" t="s">
        <v>113</v>
      </c>
      <c r="C22" s="327"/>
      <c r="D22" s="325" t="s">
        <v>673</v>
      </c>
      <c r="E22" s="325" t="s">
        <v>673</v>
      </c>
      <c r="F22" s="326">
        <f aca="true" t="shared" si="2" ref="F22:L22">SUM(F10:F21)</f>
        <v>47805</v>
      </c>
      <c r="G22" s="326">
        <f t="shared" si="2"/>
        <v>2808.8</v>
      </c>
      <c r="H22" s="326">
        <f t="shared" si="2"/>
        <v>6169.799999999998</v>
      </c>
      <c r="I22" s="326">
        <f t="shared" si="2"/>
        <v>1410.3179999999998</v>
      </c>
      <c r="J22" s="326">
        <f t="shared" si="2"/>
        <v>165.162</v>
      </c>
      <c r="K22" s="326">
        <f t="shared" si="2"/>
        <v>132.47699999999998</v>
      </c>
      <c r="L22" s="326">
        <f t="shared" si="2"/>
        <v>50053.321</v>
      </c>
      <c r="M22" s="319"/>
      <c r="N22" s="319"/>
      <c r="O22" s="319"/>
      <c r="P22" s="319"/>
      <c r="Q22" s="319"/>
      <c r="R22" s="319"/>
      <c r="S22" s="319"/>
      <c r="T22" s="319"/>
      <c r="U22" s="319"/>
      <c r="V22" s="319"/>
      <c r="W22" s="319"/>
      <c r="X22" s="319"/>
      <c r="Y22" s="319"/>
      <c r="Z22" s="319"/>
      <c r="AA22" s="319"/>
      <c r="AB22" s="319"/>
      <c r="AC22" s="319"/>
      <c r="AD22" s="319"/>
      <c r="AE22" s="319"/>
      <c r="AF22" s="318"/>
      <c r="AG22" s="318"/>
      <c r="AH22" s="318"/>
      <c r="AI22" s="318"/>
      <c r="AJ22" s="318"/>
      <c r="AK22" s="318"/>
      <c r="AL22" s="318"/>
      <c r="AM22" s="318"/>
      <c r="AN22" s="318"/>
      <c r="AO22" s="318"/>
      <c r="AP22" s="318"/>
    </row>
    <row r="23" spans="2:42" ht="15">
      <c r="B23" s="327" t="s">
        <v>674</v>
      </c>
      <c r="C23" s="327"/>
      <c r="D23" s="325" t="s">
        <v>673</v>
      </c>
      <c r="E23" s="325" t="s">
        <v>673</v>
      </c>
      <c r="F23" s="326">
        <f aca="true" t="shared" si="3" ref="F23:L23">F22/12</f>
        <v>3983.75</v>
      </c>
      <c r="G23" s="326">
        <f t="shared" si="3"/>
        <v>234.0666666666667</v>
      </c>
      <c r="H23" s="326">
        <f t="shared" si="3"/>
        <v>514.1499999999999</v>
      </c>
      <c r="I23" s="326">
        <f t="shared" si="3"/>
        <v>117.52649999999998</v>
      </c>
      <c r="J23" s="326">
        <f t="shared" si="3"/>
        <v>13.7635</v>
      </c>
      <c r="K23" s="326">
        <f t="shared" si="3"/>
        <v>11.039749999999998</v>
      </c>
      <c r="L23" s="326">
        <f t="shared" si="3"/>
        <v>4171.110083333334</v>
      </c>
      <c r="M23" s="319"/>
      <c r="N23" s="319"/>
      <c r="O23" s="319"/>
      <c r="P23" s="319"/>
      <c r="Q23" s="319"/>
      <c r="R23" s="319"/>
      <c r="S23" s="319"/>
      <c r="T23" s="319"/>
      <c r="U23" s="319"/>
      <c r="V23" s="319"/>
      <c r="W23" s="319"/>
      <c r="X23" s="319"/>
      <c r="Y23" s="319"/>
      <c r="Z23" s="319"/>
      <c r="AA23" s="319"/>
      <c r="AB23" s="319"/>
      <c r="AC23" s="319"/>
      <c r="AD23" s="319"/>
      <c r="AE23" s="319"/>
      <c r="AF23" s="318"/>
      <c r="AG23" s="318"/>
      <c r="AH23" s="318"/>
      <c r="AI23" s="318"/>
      <c r="AJ23" s="318"/>
      <c r="AK23" s="318"/>
      <c r="AL23" s="318"/>
      <c r="AM23" s="318"/>
      <c r="AN23" s="318"/>
      <c r="AO23" s="318"/>
      <c r="AP23" s="318"/>
    </row>
    <row r="24" spans="1:42" ht="20.25">
      <c r="A24" s="364" t="str">
        <f>A1</f>
        <v>Worksheet B-WE Divisor</v>
      </c>
      <c r="B24" s="312"/>
      <c r="C24" s="312"/>
      <c r="M24" s="319"/>
      <c r="N24" s="319"/>
      <c r="O24" s="319"/>
      <c r="P24" s="319"/>
      <c r="Q24" s="372" t="s">
        <v>345</v>
      </c>
      <c r="R24" s="319"/>
      <c r="S24" s="319"/>
      <c r="T24" s="319"/>
      <c r="U24" s="319"/>
      <c r="V24" s="319"/>
      <c r="W24" s="319"/>
      <c r="X24" s="319"/>
      <c r="Y24" s="319"/>
      <c r="Z24" s="319"/>
      <c r="AA24" s="319"/>
      <c r="AB24" s="319"/>
      <c r="AC24" s="319"/>
      <c r="AD24" s="319"/>
      <c r="AE24" s="319"/>
      <c r="AF24" s="318"/>
      <c r="AG24" s="318"/>
      <c r="AH24" s="318"/>
      <c r="AI24" s="318"/>
      <c r="AJ24" s="318"/>
      <c r="AK24" s="318"/>
      <c r="AL24" s="318"/>
      <c r="AM24" s="318"/>
      <c r="AN24" s="318"/>
      <c r="AO24" s="318"/>
      <c r="AP24" s="318"/>
    </row>
    <row r="25" spans="2:42" ht="15">
      <c r="B25" s="312"/>
      <c r="C25" s="312"/>
      <c r="M25" s="319"/>
      <c r="N25" s="319"/>
      <c r="O25" s="319"/>
      <c r="P25" s="319"/>
      <c r="Q25" s="319"/>
      <c r="R25" s="319"/>
      <c r="S25" s="319"/>
      <c r="T25" s="319"/>
      <c r="U25" s="319"/>
      <c r="V25" s="319"/>
      <c r="W25" s="319"/>
      <c r="X25" s="319"/>
      <c r="Y25" s="319"/>
      <c r="Z25" s="319"/>
      <c r="AA25" s="319"/>
      <c r="AB25" s="319"/>
      <c r="AC25" s="319"/>
      <c r="AD25" s="319"/>
      <c r="AE25" s="319"/>
      <c r="AF25" s="318"/>
      <c r="AG25" s="318"/>
      <c r="AH25" s="318"/>
      <c r="AI25" s="318"/>
      <c r="AJ25" s="318"/>
      <c r="AK25" s="318"/>
      <c r="AL25" s="318"/>
      <c r="AM25" s="318"/>
      <c r="AN25" s="318"/>
      <c r="AO25" s="318"/>
      <c r="AP25" s="318"/>
    </row>
    <row r="26" spans="2:42" ht="17.25">
      <c r="B26" s="520" t="str">
        <f>B3</f>
        <v>Westar Energy, Inc.</v>
      </c>
      <c r="C26" s="516"/>
      <c r="D26" s="516"/>
      <c r="E26" s="516"/>
      <c r="F26" s="516"/>
      <c r="G26" s="516"/>
      <c r="H26" s="516"/>
      <c r="I26" s="516"/>
      <c r="J26" s="516"/>
      <c r="K26" s="516"/>
      <c r="L26" s="510"/>
      <c r="M26" s="319"/>
      <c r="N26" s="319"/>
      <c r="O26" s="319"/>
      <c r="P26" s="319"/>
      <c r="Q26" s="319"/>
      <c r="R26" s="319"/>
      <c r="S26" s="319"/>
      <c r="T26" s="319"/>
      <c r="U26" s="319"/>
      <c r="V26" s="319"/>
      <c r="W26" s="319"/>
      <c r="X26" s="319"/>
      <c r="Y26" s="319"/>
      <c r="Z26" s="319"/>
      <c r="AA26" s="319"/>
      <c r="AB26" s="319"/>
      <c r="AC26" s="319"/>
      <c r="AD26" s="319"/>
      <c r="AE26" s="319"/>
      <c r="AF26" s="318"/>
      <c r="AG26" s="318"/>
      <c r="AH26" s="318"/>
      <c r="AI26" s="318"/>
      <c r="AJ26" s="318"/>
      <c r="AK26" s="318"/>
      <c r="AL26" s="318"/>
      <c r="AM26" s="318"/>
      <c r="AN26" s="318"/>
      <c r="AO26" s="318"/>
      <c r="AP26" s="318"/>
    </row>
    <row r="27" spans="2:42" ht="17.25">
      <c r="B27" s="520" t="s">
        <v>39</v>
      </c>
      <c r="C27" s="516"/>
      <c r="D27" s="516"/>
      <c r="E27" s="516"/>
      <c r="F27" s="516"/>
      <c r="G27" s="516"/>
      <c r="H27" s="516"/>
      <c r="I27" s="516"/>
      <c r="J27" s="516"/>
      <c r="K27" s="516"/>
      <c r="L27" s="510"/>
      <c r="M27" s="319"/>
      <c r="N27" s="319"/>
      <c r="O27" s="319"/>
      <c r="P27" s="319"/>
      <c r="Q27" s="319"/>
      <c r="R27" s="319"/>
      <c r="S27" s="319"/>
      <c r="T27" s="319"/>
      <c r="U27" s="319"/>
      <c r="V27" s="319"/>
      <c r="W27" s="319"/>
      <c r="X27" s="319"/>
      <c r="Y27" s="319"/>
      <c r="Z27" s="319"/>
      <c r="AA27" s="319"/>
      <c r="AB27" s="319"/>
      <c r="AC27" s="319"/>
      <c r="AD27" s="319"/>
      <c r="AE27" s="319"/>
      <c r="AF27" s="318"/>
      <c r="AG27" s="318"/>
      <c r="AH27" s="318"/>
      <c r="AI27" s="318"/>
      <c r="AJ27" s="318"/>
      <c r="AK27" s="318"/>
      <c r="AL27" s="318"/>
      <c r="AM27" s="318"/>
      <c r="AN27" s="318"/>
      <c r="AO27" s="318"/>
      <c r="AP27" s="318"/>
    </row>
    <row r="28" spans="2:42" ht="17.25">
      <c r="B28" s="421"/>
      <c r="C28" s="174"/>
      <c r="D28" s="174"/>
      <c r="E28" s="174"/>
      <c r="F28" s="174"/>
      <c r="G28" s="425" t="str">
        <f>G5</f>
        <v>Year Ending:</v>
      </c>
      <c r="H28" s="426">
        <f>H5</f>
        <v>2005</v>
      </c>
      <c r="I28" s="174"/>
      <c r="J28" s="174"/>
      <c r="K28" s="174"/>
      <c r="L28"/>
      <c r="M28" s="319"/>
      <c r="N28" s="319"/>
      <c r="O28" s="319"/>
      <c r="P28" s="319"/>
      <c r="Q28" s="319"/>
      <c r="R28" s="319"/>
      <c r="S28" s="319"/>
      <c r="T28" s="319"/>
      <c r="U28" s="319"/>
      <c r="V28" s="319"/>
      <c r="W28" s="319"/>
      <c r="X28" s="319"/>
      <c r="Y28" s="319"/>
      <c r="Z28" s="319"/>
      <c r="AA28" s="319"/>
      <c r="AB28" s="319"/>
      <c r="AC28" s="319"/>
      <c r="AD28" s="319"/>
      <c r="AE28" s="319"/>
      <c r="AF28" s="318"/>
      <c r="AG28" s="318"/>
      <c r="AH28" s="318"/>
      <c r="AI28" s="318"/>
      <c r="AJ28" s="318"/>
      <c r="AK28" s="318"/>
      <c r="AL28" s="318"/>
      <c r="AM28" s="318"/>
      <c r="AN28" s="318"/>
      <c r="AO28" s="318"/>
      <c r="AP28" s="318"/>
    </row>
    <row r="29" spans="2:42" ht="15">
      <c r="B29" s="312"/>
      <c r="C29" s="312"/>
      <c r="M29" s="319"/>
      <c r="N29" s="319"/>
      <c r="O29" s="319"/>
      <c r="P29" s="319"/>
      <c r="Q29" s="319"/>
      <c r="R29" s="319"/>
      <c r="S29" s="319"/>
      <c r="T29" s="319"/>
      <c r="U29" s="319"/>
      <c r="V29" s="319"/>
      <c r="W29" s="319"/>
      <c r="X29" s="319"/>
      <c r="Y29" s="319"/>
      <c r="Z29" s="319"/>
      <c r="AA29" s="319"/>
      <c r="AB29" s="319"/>
      <c r="AC29" s="319"/>
      <c r="AD29" s="319"/>
      <c r="AE29" s="319"/>
      <c r="AF29" s="318"/>
      <c r="AG29" s="318"/>
      <c r="AH29" s="318"/>
      <c r="AI29" s="318"/>
      <c r="AJ29" s="318"/>
      <c r="AK29" s="318"/>
      <c r="AL29" s="318"/>
      <c r="AM29" s="318"/>
      <c r="AN29" s="318"/>
      <c r="AO29" s="318"/>
      <c r="AP29" s="318"/>
    </row>
    <row r="30" spans="2:42" ht="17.25">
      <c r="B30" s="448" t="s">
        <v>12</v>
      </c>
      <c r="E30" s="174"/>
      <c r="F30" s="174"/>
      <c r="H30" s="174"/>
      <c r="I30" s="174"/>
      <c r="J30" s="174"/>
      <c r="K30" s="174"/>
      <c r="L30" s="174"/>
      <c r="M30" s="319"/>
      <c r="N30" s="319"/>
      <c r="O30" s="319"/>
      <c r="P30" s="319"/>
      <c r="Q30" s="319"/>
      <c r="R30" s="319"/>
      <c r="S30" s="319"/>
      <c r="T30" s="319"/>
      <c r="U30" s="319"/>
      <c r="V30" s="319"/>
      <c r="W30" s="319"/>
      <c r="X30" s="319"/>
      <c r="Y30" s="319"/>
      <c r="Z30" s="319"/>
      <c r="AA30" s="319"/>
      <c r="AB30" s="319"/>
      <c r="AC30" s="319"/>
      <c r="AD30" s="319"/>
      <c r="AE30" s="319"/>
      <c r="AF30" s="318"/>
      <c r="AG30" s="318"/>
      <c r="AH30" s="318"/>
      <c r="AI30" s="318"/>
      <c r="AJ30" s="318"/>
      <c r="AK30" s="318"/>
      <c r="AL30" s="318"/>
      <c r="AM30" s="318"/>
      <c r="AN30" s="318"/>
      <c r="AO30" s="318"/>
      <c r="AP30" s="318"/>
    </row>
    <row r="31" spans="2:42" ht="15">
      <c r="B31" s="312"/>
      <c r="E31" s="174"/>
      <c r="F31" s="174"/>
      <c r="H31" s="174"/>
      <c r="I31" s="174"/>
      <c r="J31" s="174"/>
      <c r="K31" s="174"/>
      <c r="L31" s="174"/>
      <c r="M31" s="319"/>
      <c r="N31" s="319"/>
      <c r="O31" s="319"/>
      <c r="P31" s="319"/>
      <c r="Q31" s="319"/>
      <c r="R31" s="319"/>
      <c r="S31" s="319"/>
      <c r="T31" s="319"/>
      <c r="U31" s="319"/>
      <c r="V31" s="319"/>
      <c r="W31" s="319"/>
      <c r="X31" s="319"/>
      <c r="Y31" s="319"/>
      <c r="Z31" s="319"/>
      <c r="AA31" s="319"/>
      <c r="AB31" s="319"/>
      <c r="AC31" s="319"/>
      <c r="AD31" s="319"/>
      <c r="AE31" s="319"/>
      <c r="AF31" s="318"/>
      <c r="AG31" s="318"/>
      <c r="AH31" s="318"/>
      <c r="AI31" s="318"/>
      <c r="AJ31" s="318"/>
      <c r="AK31" s="318"/>
      <c r="AL31" s="318"/>
      <c r="AM31" s="318"/>
      <c r="AN31" s="318"/>
      <c r="AO31" s="318"/>
      <c r="AP31" s="318"/>
    </row>
    <row r="32" spans="2:42" ht="68.25">
      <c r="B32" s="320" t="s">
        <v>675</v>
      </c>
      <c r="C32" s="321" t="s">
        <v>676</v>
      </c>
      <c r="D32" s="321" t="s">
        <v>677</v>
      </c>
      <c r="E32" s="322" t="s">
        <v>678</v>
      </c>
      <c r="F32" s="321" t="s">
        <v>680</v>
      </c>
      <c r="G32" s="321" t="s">
        <v>731</v>
      </c>
      <c r="H32" s="321" t="s">
        <v>732</v>
      </c>
      <c r="I32" s="321" t="s">
        <v>80</v>
      </c>
      <c r="J32" s="321" t="s">
        <v>81</v>
      </c>
      <c r="K32" s="321" t="s">
        <v>82</v>
      </c>
      <c r="L32" s="321" t="s">
        <v>681</v>
      </c>
      <c r="M32" s="328"/>
      <c r="N32" s="328"/>
      <c r="O32" s="328"/>
      <c r="P32" s="328"/>
      <c r="Q32" s="328"/>
      <c r="R32" s="328"/>
      <c r="S32" s="328"/>
      <c r="T32" s="328"/>
      <c r="U32" s="328"/>
      <c r="V32" s="328"/>
      <c r="W32" s="328"/>
      <c r="X32" s="328"/>
      <c r="Y32" s="328"/>
      <c r="Z32" s="328"/>
      <c r="AA32" s="318"/>
      <c r="AB32" s="318"/>
      <c r="AC32" s="318"/>
      <c r="AD32" s="318"/>
      <c r="AE32" s="318"/>
      <c r="AF32" s="318"/>
      <c r="AG32" s="318"/>
      <c r="AH32" s="318"/>
      <c r="AI32" s="318"/>
      <c r="AJ32" s="318"/>
      <c r="AK32" s="318"/>
      <c r="AL32" s="318"/>
      <c r="AM32" s="318"/>
      <c r="AN32" s="318"/>
      <c r="AO32" s="318"/>
      <c r="AP32" s="318"/>
    </row>
    <row r="33" spans="2:42" ht="15">
      <c r="B33" s="323">
        <v>38357</v>
      </c>
      <c r="C33" s="324">
        <v>1900</v>
      </c>
      <c r="D33" s="326">
        <v>1740</v>
      </c>
      <c r="E33" s="326">
        <f>3282-D51-D33</f>
        <v>-44</v>
      </c>
      <c r="F33" s="326">
        <f aca="true" t="shared" si="4" ref="F33:F44">D33+E33</f>
        <v>1696</v>
      </c>
      <c r="G33" s="326">
        <f>G51</f>
        <v>164.1</v>
      </c>
      <c r="H33" s="326">
        <f>H51</f>
        <v>345.45</v>
      </c>
      <c r="I33" s="326">
        <v>0</v>
      </c>
      <c r="J33" s="326">
        <v>0</v>
      </c>
      <c r="K33" s="326">
        <v>0</v>
      </c>
      <c r="L33" s="326">
        <f>F33-G33+H33-I33+J33+K33</f>
        <v>1877.3500000000001</v>
      </c>
      <c r="M33" s="328"/>
      <c r="N33" s="328"/>
      <c r="O33" s="328"/>
      <c r="P33" s="328"/>
      <c r="Q33" s="328"/>
      <c r="R33" s="328"/>
      <c r="S33" s="328"/>
      <c r="T33" s="328"/>
      <c r="U33" s="328"/>
      <c r="V33" s="328"/>
      <c r="W33" s="328"/>
      <c r="X33" s="328"/>
      <c r="Y33" s="328"/>
      <c r="Z33" s="328"/>
      <c r="AA33" s="318"/>
      <c r="AB33" s="318"/>
      <c r="AC33" s="318"/>
      <c r="AD33" s="318"/>
      <c r="AE33" s="318"/>
      <c r="AF33" s="318"/>
      <c r="AG33" s="318"/>
      <c r="AH33" s="318"/>
      <c r="AI33" s="318"/>
      <c r="AJ33" s="318"/>
      <c r="AK33" s="318"/>
      <c r="AL33" s="318"/>
      <c r="AM33" s="318"/>
      <c r="AN33" s="318"/>
      <c r="AO33" s="318"/>
      <c r="AP33" s="318"/>
    </row>
    <row r="34" spans="2:42" ht="15">
      <c r="B34" s="323">
        <v>38391</v>
      </c>
      <c r="C34" s="324">
        <v>1900</v>
      </c>
      <c r="D34" s="326">
        <v>1690</v>
      </c>
      <c r="E34" s="326">
        <v>0</v>
      </c>
      <c r="F34" s="326">
        <f t="shared" si="4"/>
        <v>1690</v>
      </c>
      <c r="G34" s="326">
        <f aca="true" t="shared" si="5" ref="G34:H44">G52</f>
        <v>170.65</v>
      </c>
      <c r="H34" s="326">
        <f t="shared" si="5"/>
        <v>345.45</v>
      </c>
      <c r="I34" s="326">
        <v>0</v>
      </c>
      <c r="J34" s="326">
        <v>0</v>
      </c>
      <c r="K34" s="326">
        <v>0</v>
      </c>
      <c r="L34" s="326">
        <f aca="true" t="shared" si="6" ref="L34:L44">F34-G34+H34-I34+J34+K34</f>
        <v>1864.8</v>
      </c>
      <c r="M34" s="328"/>
      <c r="N34" s="328"/>
      <c r="O34" s="328"/>
      <c r="P34" s="328"/>
      <c r="Q34" s="328"/>
      <c r="R34" s="328"/>
      <c r="S34" s="328"/>
      <c r="T34" s="328"/>
      <c r="U34" s="328"/>
      <c r="V34" s="328"/>
      <c r="W34" s="328"/>
      <c r="X34" s="328"/>
      <c r="Y34" s="328"/>
      <c r="Z34" s="328"/>
      <c r="AA34" s="318"/>
      <c r="AB34" s="318"/>
      <c r="AC34" s="318"/>
      <c r="AD34" s="318"/>
      <c r="AE34" s="318"/>
      <c r="AF34" s="318"/>
      <c r="AG34" s="318"/>
      <c r="AH34" s="318"/>
      <c r="AI34" s="318"/>
      <c r="AJ34" s="318"/>
      <c r="AK34" s="318"/>
      <c r="AL34" s="318"/>
      <c r="AM34" s="318"/>
      <c r="AN34" s="318"/>
      <c r="AO34" s="318"/>
      <c r="AP34" s="318"/>
    </row>
    <row r="35" spans="2:42" ht="15">
      <c r="B35" s="323">
        <v>38412</v>
      </c>
      <c r="C35" s="324">
        <v>900</v>
      </c>
      <c r="D35" s="326">
        <v>1481</v>
      </c>
      <c r="E35" s="326">
        <f>2876-D53-D35</f>
        <v>-8</v>
      </c>
      <c r="F35" s="326">
        <f t="shared" si="4"/>
        <v>1473</v>
      </c>
      <c r="G35" s="326">
        <f t="shared" si="5"/>
        <v>154.1</v>
      </c>
      <c r="H35" s="326">
        <f t="shared" si="5"/>
        <v>345.45</v>
      </c>
      <c r="I35" s="326">
        <v>0</v>
      </c>
      <c r="J35" s="326">
        <v>0</v>
      </c>
      <c r="K35" s="326">
        <v>0</v>
      </c>
      <c r="L35" s="326">
        <f t="shared" si="6"/>
        <v>1664.3500000000001</v>
      </c>
      <c r="M35" s="328"/>
      <c r="N35" s="328"/>
      <c r="O35" s="328"/>
      <c r="P35" s="328"/>
      <c r="Q35" s="328"/>
      <c r="R35" s="328"/>
      <c r="S35" s="328"/>
      <c r="T35" s="328"/>
      <c r="U35" s="328"/>
      <c r="V35" s="328"/>
      <c r="W35" s="328"/>
      <c r="X35" s="328"/>
      <c r="Y35" s="328"/>
      <c r="Z35" s="328"/>
      <c r="AA35" s="318"/>
      <c r="AB35" s="318"/>
      <c r="AC35" s="318"/>
      <c r="AD35" s="318"/>
      <c r="AE35" s="318"/>
      <c r="AF35" s="318"/>
      <c r="AG35" s="318"/>
      <c r="AH35" s="318"/>
      <c r="AI35" s="318"/>
      <c r="AJ35" s="318"/>
      <c r="AK35" s="318"/>
      <c r="AL35" s="318"/>
      <c r="AM35" s="318"/>
      <c r="AN35" s="318"/>
      <c r="AO35" s="318"/>
      <c r="AP35" s="318"/>
    </row>
    <row r="36" spans="2:42" ht="15">
      <c r="B36" s="323">
        <v>38463</v>
      </c>
      <c r="C36" s="324">
        <v>1500</v>
      </c>
      <c r="D36" s="326">
        <v>1599</v>
      </c>
      <c r="E36" s="326">
        <f>3171-D54-D36</f>
        <v>-13</v>
      </c>
      <c r="F36" s="326">
        <f t="shared" si="4"/>
        <v>1586</v>
      </c>
      <c r="G36" s="326">
        <f t="shared" si="5"/>
        <v>134.3</v>
      </c>
      <c r="H36" s="326">
        <f t="shared" si="5"/>
        <v>345.45</v>
      </c>
      <c r="I36" s="326">
        <v>0</v>
      </c>
      <c r="J36" s="326">
        <v>0</v>
      </c>
      <c r="K36" s="326">
        <v>0</v>
      </c>
      <c r="L36" s="326">
        <f t="shared" si="6"/>
        <v>1797.15</v>
      </c>
      <c r="Y36" s="318"/>
      <c r="Z36" s="318"/>
      <c r="AA36" s="318"/>
      <c r="AB36" s="318"/>
      <c r="AC36" s="318"/>
      <c r="AD36" s="318"/>
      <c r="AE36" s="318"/>
      <c r="AF36" s="318"/>
      <c r="AG36" s="318"/>
      <c r="AH36" s="318"/>
      <c r="AI36" s="318"/>
      <c r="AJ36" s="318"/>
      <c r="AK36" s="318"/>
      <c r="AL36" s="318"/>
      <c r="AM36" s="318"/>
      <c r="AN36" s="318"/>
      <c r="AO36" s="318"/>
      <c r="AP36" s="318"/>
    </row>
    <row r="37" spans="2:42" ht="15">
      <c r="B37" s="323">
        <v>38495</v>
      </c>
      <c r="C37" s="324">
        <v>1800</v>
      </c>
      <c r="D37" s="326">
        <v>2037</v>
      </c>
      <c r="E37" s="326">
        <f>4110-D55-D37</f>
        <v>-22</v>
      </c>
      <c r="F37" s="326">
        <f t="shared" si="4"/>
        <v>2015</v>
      </c>
      <c r="G37" s="326">
        <f t="shared" si="5"/>
        <v>158.25</v>
      </c>
      <c r="H37" s="326">
        <f t="shared" si="5"/>
        <v>345.45</v>
      </c>
      <c r="I37" s="326">
        <v>0</v>
      </c>
      <c r="J37" s="326">
        <v>0</v>
      </c>
      <c r="K37" s="326">
        <v>0</v>
      </c>
      <c r="L37" s="326">
        <f t="shared" si="6"/>
        <v>2202.2</v>
      </c>
      <c r="Y37" s="318"/>
      <c r="Z37" s="318"/>
      <c r="AA37" s="318"/>
      <c r="AB37" s="318"/>
      <c r="AC37" s="318"/>
      <c r="AD37" s="318"/>
      <c r="AE37" s="318"/>
      <c r="AF37" s="318"/>
      <c r="AG37" s="318"/>
      <c r="AH37" s="318"/>
      <c r="AI37" s="318"/>
      <c r="AJ37" s="318"/>
      <c r="AK37" s="318"/>
      <c r="AL37" s="318"/>
      <c r="AM37" s="318"/>
      <c r="AN37" s="318"/>
      <c r="AO37" s="318"/>
      <c r="AP37" s="318"/>
    </row>
    <row r="38" spans="2:42" ht="15">
      <c r="B38" s="323">
        <v>38530</v>
      </c>
      <c r="C38" s="324">
        <v>1700</v>
      </c>
      <c r="D38" s="326">
        <v>2510</v>
      </c>
      <c r="E38" s="326">
        <v>0</v>
      </c>
      <c r="F38" s="326">
        <f t="shared" si="4"/>
        <v>2510</v>
      </c>
      <c r="G38" s="326">
        <f t="shared" si="5"/>
        <v>89.5</v>
      </c>
      <c r="H38" s="326">
        <f t="shared" si="5"/>
        <v>193.95</v>
      </c>
      <c r="I38" s="326">
        <v>0</v>
      </c>
      <c r="J38" s="326">
        <v>0</v>
      </c>
      <c r="K38" s="326">
        <v>0</v>
      </c>
      <c r="L38" s="326">
        <f t="shared" si="6"/>
        <v>2614.45</v>
      </c>
      <c r="Y38" s="318"/>
      <c r="Z38" s="318"/>
      <c r="AA38" s="318"/>
      <c r="AB38" s="318"/>
      <c r="AC38" s="318"/>
      <c r="AD38" s="318"/>
      <c r="AE38" s="318"/>
      <c r="AF38" s="318"/>
      <c r="AG38" s="318"/>
      <c r="AH38" s="318"/>
      <c r="AI38" s="318"/>
      <c r="AJ38" s="318"/>
      <c r="AK38" s="318"/>
      <c r="AL38" s="318"/>
      <c r="AM38" s="318"/>
      <c r="AN38" s="318"/>
      <c r="AO38" s="318"/>
      <c r="AP38" s="318"/>
    </row>
    <row r="39" spans="2:42" ht="15">
      <c r="B39" s="323">
        <v>38555</v>
      </c>
      <c r="C39" s="324">
        <v>1700</v>
      </c>
      <c r="D39" s="326">
        <v>2643</v>
      </c>
      <c r="E39" s="326">
        <f>5044-D57-D39</f>
        <v>-9</v>
      </c>
      <c r="F39" s="326">
        <f t="shared" si="4"/>
        <v>2634</v>
      </c>
      <c r="G39" s="326">
        <f t="shared" si="5"/>
        <v>95.5</v>
      </c>
      <c r="H39" s="326">
        <f t="shared" si="5"/>
        <v>193.95</v>
      </c>
      <c r="I39" s="326">
        <v>0</v>
      </c>
      <c r="J39" s="326">
        <v>0</v>
      </c>
      <c r="K39" s="326">
        <v>0</v>
      </c>
      <c r="L39" s="326">
        <f t="shared" si="6"/>
        <v>2732.45</v>
      </c>
      <c r="Y39" s="318"/>
      <c r="Z39" s="318"/>
      <c r="AA39" s="318"/>
      <c r="AB39" s="318"/>
      <c r="AC39" s="318"/>
      <c r="AD39" s="318"/>
      <c r="AE39" s="318"/>
      <c r="AF39" s="318"/>
      <c r="AG39" s="318"/>
      <c r="AH39" s="318"/>
      <c r="AI39" s="318"/>
      <c r="AJ39" s="318"/>
      <c r="AK39" s="318"/>
      <c r="AL39" s="318"/>
      <c r="AM39" s="318"/>
      <c r="AN39" s="318"/>
      <c r="AO39" s="318"/>
      <c r="AP39" s="318"/>
    </row>
    <row r="40" spans="2:42" ht="15">
      <c r="B40" s="323">
        <v>38582</v>
      </c>
      <c r="C40" s="324">
        <v>1700</v>
      </c>
      <c r="D40" s="326">
        <v>2616</v>
      </c>
      <c r="E40" s="326">
        <v>0</v>
      </c>
      <c r="F40" s="326">
        <f t="shared" si="4"/>
        <v>2616</v>
      </c>
      <c r="G40" s="326">
        <f t="shared" si="5"/>
        <v>93.5</v>
      </c>
      <c r="H40" s="326">
        <f t="shared" si="5"/>
        <v>193.95</v>
      </c>
      <c r="I40" s="326">
        <v>0</v>
      </c>
      <c r="J40" s="326">
        <v>0</v>
      </c>
      <c r="K40" s="326">
        <v>0</v>
      </c>
      <c r="L40" s="326">
        <f t="shared" si="6"/>
        <v>2716.45</v>
      </c>
      <c r="Y40" s="318"/>
      <c r="Z40" s="318"/>
      <c r="AA40" s="318"/>
      <c r="AB40" s="318"/>
      <c r="AC40" s="318"/>
      <c r="AD40" s="318"/>
      <c r="AE40" s="318"/>
      <c r="AF40" s="318"/>
      <c r="AG40" s="318"/>
      <c r="AH40" s="318"/>
      <c r="AI40" s="318"/>
      <c r="AJ40" s="318"/>
      <c r="AK40" s="318"/>
      <c r="AL40" s="318"/>
      <c r="AM40" s="318"/>
      <c r="AN40" s="318"/>
      <c r="AO40" s="318"/>
      <c r="AP40" s="318"/>
    </row>
    <row r="41" spans="2:42" ht="15">
      <c r="B41" s="323">
        <v>38616</v>
      </c>
      <c r="C41" s="324">
        <v>1700</v>
      </c>
      <c r="D41" s="326">
        <v>2407</v>
      </c>
      <c r="E41" s="326">
        <v>0</v>
      </c>
      <c r="F41" s="326">
        <f t="shared" si="4"/>
        <v>2407</v>
      </c>
      <c r="G41" s="326">
        <f t="shared" si="5"/>
        <v>94</v>
      </c>
      <c r="H41" s="326">
        <f t="shared" si="5"/>
        <v>193.95</v>
      </c>
      <c r="I41" s="326">
        <v>0</v>
      </c>
      <c r="J41" s="326">
        <v>0</v>
      </c>
      <c r="K41" s="326">
        <v>0</v>
      </c>
      <c r="L41" s="326">
        <f t="shared" si="6"/>
        <v>2506.95</v>
      </c>
      <c r="Y41" s="318"/>
      <c r="Z41" s="318"/>
      <c r="AA41" s="318"/>
      <c r="AB41" s="318"/>
      <c r="AC41" s="318"/>
      <c r="AD41" s="318"/>
      <c r="AE41" s="318"/>
      <c r="AF41" s="318"/>
      <c r="AG41" s="318"/>
      <c r="AH41" s="318"/>
      <c r="AI41" s="318"/>
      <c r="AJ41" s="318"/>
      <c r="AK41" s="318"/>
      <c r="AL41" s="318"/>
      <c r="AM41" s="318"/>
      <c r="AN41" s="318"/>
      <c r="AO41" s="318"/>
      <c r="AP41" s="318"/>
    </row>
    <row r="42" spans="2:42" ht="15">
      <c r="B42" s="323">
        <v>38629</v>
      </c>
      <c r="C42" s="324">
        <v>1700</v>
      </c>
      <c r="D42" s="326">
        <v>2181</v>
      </c>
      <c r="E42" s="326">
        <v>0</v>
      </c>
      <c r="F42" s="326">
        <f t="shared" si="4"/>
        <v>2181</v>
      </c>
      <c r="G42" s="326">
        <f t="shared" si="5"/>
        <v>86</v>
      </c>
      <c r="H42" s="326">
        <f t="shared" si="5"/>
        <v>193.95</v>
      </c>
      <c r="I42" s="326">
        <v>0</v>
      </c>
      <c r="J42" s="326">
        <v>0</v>
      </c>
      <c r="K42" s="326">
        <v>0</v>
      </c>
      <c r="L42" s="326">
        <f t="shared" si="6"/>
        <v>2288.95</v>
      </c>
      <c r="Y42" s="318"/>
      <c r="Z42" s="318"/>
      <c r="AA42" s="318"/>
      <c r="AB42" s="318"/>
      <c r="AC42" s="318"/>
      <c r="AD42" s="318"/>
      <c r="AE42" s="318"/>
      <c r="AF42" s="318"/>
      <c r="AG42" s="318"/>
      <c r="AH42" s="318"/>
      <c r="AI42" s="318"/>
      <c r="AJ42" s="318"/>
      <c r="AK42" s="318"/>
      <c r="AL42" s="318"/>
      <c r="AM42" s="318"/>
      <c r="AN42" s="318"/>
      <c r="AO42" s="318"/>
      <c r="AP42" s="318"/>
    </row>
    <row r="43" spans="2:42" ht="15">
      <c r="B43" s="323">
        <v>38684</v>
      </c>
      <c r="C43" s="324">
        <v>1900</v>
      </c>
      <c r="D43" s="326">
        <v>1745</v>
      </c>
      <c r="E43" s="326">
        <v>0</v>
      </c>
      <c r="F43" s="326">
        <f t="shared" si="4"/>
        <v>1745</v>
      </c>
      <c r="G43" s="326">
        <f t="shared" si="5"/>
        <v>85</v>
      </c>
      <c r="H43" s="326">
        <f t="shared" si="5"/>
        <v>193.95</v>
      </c>
      <c r="I43" s="326">
        <v>0</v>
      </c>
      <c r="J43" s="326">
        <v>0</v>
      </c>
      <c r="K43" s="326">
        <v>0</v>
      </c>
      <c r="L43" s="326">
        <f t="shared" si="6"/>
        <v>1853.95</v>
      </c>
      <c r="Y43" s="318"/>
      <c r="Z43" s="318"/>
      <c r="AA43" s="318"/>
      <c r="AB43" s="318"/>
      <c r="AC43" s="318"/>
      <c r="AD43" s="318"/>
      <c r="AE43" s="318"/>
      <c r="AF43" s="318"/>
      <c r="AG43" s="318"/>
      <c r="AH43" s="318"/>
      <c r="AI43" s="318"/>
      <c r="AJ43" s="318"/>
      <c r="AK43" s="318"/>
      <c r="AL43" s="318"/>
      <c r="AM43" s="318"/>
      <c r="AN43" s="318"/>
      <c r="AO43" s="318"/>
      <c r="AP43" s="318"/>
    </row>
    <row r="44" spans="2:42" ht="15">
      <c r="B44" s="323">
        <v>38693</v>
      </c>
      <c r="C44" s="324">
        <v>1900</v>
      </c>
      <c r="D44" s="370">
        <v>1952</v>
      </c>
      <c r="E44" s="370">
        <v>0</v>
      </c>
      <c r="F44" s="370">
        <f t="shared" si="4"/>
        <v>1952</v>
      </c>
      <c r="G44" s="326">
        <f t="shared" si="5"/>
        <v>79.5</v>
      </c>
      <c r="H44" s="326">
        <f t="shared" si="5"/>
        <v>193.95</v>
      </c>
      <c r="I44" s="326">
        <v>0</v>
      </c>
      <c r="J44" s="326">
        <v>0</v>
      </c>
      <c r="K44" s="326">
        <v>0</v>
      </c>
      <c r="L44" s="326">
        <f t="shared" si="6"/>
        <v>2066.45</v>
      </c>
      <c r="Y44" s="318"/>
      <c r="Z44" s="318"/>
      <c r="AA44" s="318"/>
      <c r="AB44" s="318"/>
      <c r="AC44" s="318"/>
      <c r="AD44" s="318"/>
      <c r="AE44" s="318"/>
      <c r="AF44" s="318"/>
      <c r="AG44" s="318"/>
      <c r="AH44" s="318"/>
      <c r="AI44" s="318"/>
      <c r="AJ44" s="318"/>
      <c r="AK44" s="318"/>
      <c r="AL44" s="318"/>
      <c r="AM44" s="318"/>
      <c r="AN44" s="318"/>
      <c r="AO44" s="318"/>
      <c r="AP44" s="318"/>
    </row>
    <row r="45" spans="2:42" ht="15">
      <c r="B45" s="327" t="s">
        <v>113</v>
      </c>
      <c r="C45" s="327"/>
      <c r="D45" s="326">
        <f aca="true" t="shared" si="7" ref="D45:L45">SUM(D33:D44)</f>
        <v>24601</v>
      </c>
      <c r="E45" s="326">
        <f t="shared" si="7"/>
        <v>-96</v>
      </c>
      <c r="F45" s="326">
        <f t="shared" si="7"/>
        <v>24505</v>
      </c>
      <c r="G45" s="326">
        <f t="shared" si="7"/>
        <v>1404.4</v>
      </c>
      <c r="H45" s="326">
        <f t="shared" si="7"/>
        <v>3084.899999999999</v>
      </c>
      <c r="I45" s="326">
        <f t="shared" si="7"/>
        <v>0</v>
      </c>
      <c r="J45" s="326">
        <f t="shared" si="7"/>
        <v>0</v>
      </c>
      <c r="K45" s="326">
        <f t="shared" si="7"/>
        <v>0</v>
      </c>
      <c r="L45" s="326">
        <f t="shared" si="7"/>
        <v>26185.500000000004</v>
      </c>
      <c r="Y45" s="318"/>
      <c r="Z45" s="318"/>
      <c r="AA45" s="318"/>
      <c r="AB45" s="318"/>
      <c r="AC45" s="318"/>
      <c r="AD45" s="318"/>
      <c r="AE45" s="318"/>
      <c r="AF45" s="318"/>
      <c r="AG45" s="318"/>
      <c r="AH45" s="318"/>
      <c r="AI45" s="318"/>
      <c r="AJ45" s="318"/>
      <c r="AK45" s="318"/>
      <c r="AL45" s="318"/>
      <c r="AM45" s="318"/>
      <c r="AN45" s="318"/>
      <c r="AO45" s="318"/>
      <c r="AP45" s="318"/>
    </row>
    <row r="46" spans="2:42" ht="15">
      <c r="B46" s="327" t="s">
        <v>674</v>
      </c>
      <c r="C46" s="327"/>
      <c r="D46" s="326">
        <f aca="true" t="shared" si="8" ref="D46:L46">D45/12</f>
        <v>2050.0833333333335</v>
      </c>
      <c r="E46" s="326">
        <f t="shared" si="8"/>
        <v>-8</v>
      </c>
      <c r="F46" s="326">
        <f t="shared" si="8"/>
        <v>2042.0833333333333</v>
      </c>
      <c r="G46" s="326">
        <f t="shared" si="8"/>
        <v>117.03333333333335</v>
      </c>
      <c r="H46" s="326">
        <f t="shared" si="8"/>
        <v>257.07499999999993</v>
      </c>
      <c r="I46" s="326">
        <f t="shared" si="8"/>
        <v>0</v>
      </c>
      <c r="J46" s="326">
        <f t="shared" si="8"/>
        <v>0</v>
      </c>
      <c r="K46" s="326">
        <f t="shared" si="8"/>
        <v>0</v>
      </c>
      <c r="L46" s="326">
        <f t="shared" si="8"/>
        <v>2182.1250000000005</v>
      </c>
      <c r="Y46" s="318"/>
      <c r="Z46" s="318"/>
      <c r="AA46" s="318"/>
      <c r="AB46" s="318"/>
      <c r="AC46" s="318"/>
      <c r="AD46" s="318"/>
      <c r="AE46" s="318"/>
      <c r="AF46" s="318"/>
      <c r="AG46" s="318"/>
      <c r="AH46" s="318"/>
      <c r="AI46" s="318"/>
      <c r="AJ46" s="318"/>
      <c r="AK46" s="318"/>
      <c r="AL46" s="318"/>
      <c r="AM46" s="318"/>
      <c r="AN46" s="318"/>
      <c r="AO46" s="318"/>
      <c r="AP46" s="318"/>
    </row>
    <row r="47" spans="2:42" ht="15">
      <c r="B47" s="313"/>
      <c r="C47" s="314"/>
      <c r="D47" s="315"/>
      <c r="E47" s="316"/>
      <c r="F47" s="315"/>
      <c r="H47" s="317"/>
      <c r="I47" s="317"/>
      <c r="J47" s="317"/>
      <c r="K47" s="317"/>
      <c r="L47" s="317"/>
      <c r="AA47" s="318"/>
      <c r="AB47" s="318"/>
      <c r="AC47" s="318"/>
      <c r="AD47" s="318"/>
      <c r="AE47" s="318"/>
      <c r="AF47" s="318"/>
      <c r="AG47" s="318"/>
      <c r="AH47" s="318"/>
      <c r="AI47" s="318"/>
      <c r="AJ47" s="318"/>
      <c r="AK47" s="318"/>
      <c r="AL47" s="318"/>
      <c r="AM47" s="318"/>
      <c r="AN47" s="318"/>
      <c r="AO47" s="318"/>
      <c r="AP47" s="318"/>
    </row>
    <row r="48" spans="2:42" ht="17.25">
      <c r="B48" s="448" t="s">
        <v>14</v>
      </c>
      <c r="C48" s="172"/>
      <c r="D48" s="318"/>
      <c r="E48" s="318"/>
      <c r="F48" s="318"/>
      <c r="H48" s="318"/>
      <c r="I48" s="318"/>
      <c r="J48" s="318"/>
      <c r="K48" s="318"/>
      <c r="L48" s="318"/>
      <c r="AA48" s="318"/>
      <c r="AB48" s="318"/>
      <c r="AC48" s="318"/>
      <c r="AD48" s="318"/>
      <c r="AE48" s="318"/>
      <c r="AF48" s="318"/>
      <c r="AG48" s="318"/>
      <c r="AH48" s="318"/>
      <c r="AI48" s="318"/>
      <c r="AJ48" s="318"/>
      <c r="AK48" s="318"/>
      <c r="AL48" s="318"/>
      <c r="AM48" s="318"/>
      <c r="AN48" s="318"/>
      <c r="AO48" s="318"/>
      <c r="AP48" s="318"/>
    </row>
    <row r="49" spans="2:42" ht="15">
      <c r="B49" s="312"/>
      <c r="C49" s="172"/>
      <c r="D49" s="318"/>
      <c r="E49" s="318"/>
      <c r="F49" s="318"/>
      <c r="H49" s="318"/>
      <c r="I49" s="318"/>
      <c r="J49" s="318"/>
      <c r="K49" s="318"/>
      <c r="L49" s="318"/>
      <c r="AA49" s="318"/>
      <c r="AB49" s="318"/>
      <c r="AC49" s="318"/>
      <c r="AD49" s="318"/>
      <c r="AE49" s="318"/>
      <c r="AF49" s="318"/>
      <c r="AG49" s="318"/>
      <c r="AH49" s="318"/>
      <c r="AI49" s="318"/>
      <c r="AJ49" s="318"/>
      <c r="AK49" s="318"/>
      <c r="AL49" s="318"/>
      <c r="AM49" s="318"/>
      <c r="AN49" s="318"/>
      <c r="AO49" s="318"/>
      <c r="AP49" s="318"/>
    </row>
    <row r="50" spans="2:42" ht="68.25">
      <c r="B50" s="320" t="s">
        <v>675</v>
      </c>
      <c r="C50" s="321" t="s">
        <v>676</v>
      </c>
      <c r="D50" s="321" t="s">
        <v>677</v>
      </c>
      <c r="E50" s="322" t="s">
        <v>678</v>
      </c>
      <c r="F50" s="321" t="s">
        <v>680</v>
      </c>
      <c r="G50" s="321" t="s">
        <v>731</v>
      </c>
      <c r="H50" s="321" t="s">
        <v>732</v>
      </c>
      <c r="I50" s="321" t="s">
        <v>80</v>
      </c>
      <c r="J50" s="321" t="s">
        <v>81</v>
      </c>
      <c r="K50" s="321" t="s">
        <v>82</v>
      </c>
      <c r="L50" s="321" t="s">
        <v>681</v>
      </c>
      <c r="AA50" s="318"/>
      <c r="AB50" s="318"/>
      <c r="AC50" s="318"/>
      <c r="AD50" s="318"/>
      <c r="AE50" s="318"/>
      <c r="AF50" s="318"/>
      <c r="AG50" s="318"/>
      <c r="AH50" s="318"/>
      <c r="AI50" s="318"/>
      <c r="AJ50" s="318"/>
      <c r="AK50" s="318"/>
      <c r="AL50" s="318"/>
      <c r="AM50" s="318"/>
      <c r="AN50" s="318"/>
      <c r="AO50" s="318"/>
      <c r="AP50" s="318"/>
    </row>
    <row r="51" spans="2:42" ht="15">
      <c r="B51" s="323">
        <v>38366</v>
      </c>
      <c r="C51" s="324">
        <v>800</v>
      </c>
      <c r="D51" s="326">
        <v>1586</v>
      </c>
      <c r="E51" s="330">
        <v>0</v>
      </c>
      <c r="F51" s="326">
        <f aca="true" t="shared" si="9" ref="F51:F62">D51+E51</f>
        <v>1586</v>
      </c>
      <c r="G51" s="326">
        <f>Q83/2</f>
        <v>164.1</v>
      </c>
      <c r="H51" s="326">
        <f>Q106/2</f>
        <v>345.45</v>
      </c>
      <c r="I51" s="326">
        <f>N122</f>
        <v>118.868</v>
      </c>
      <c r="J51" s="326">
        <f aca="true" t="shared" si="10" ref="J51:J62">K145/1000</f>
        <v>0</v>
      </c>
      <c r="K51" s="326">
        <f aca="true" t="shared" si="11" ref="K51:K62">F161/1000</f>
        <v>4.346</v>
      </c>
      <c r="L51" s="326">
        <f>F51-G51+H51-I51+J51+K51</f>
        <v>1652.8280000000002</v>
      </c>
      <c r="AA51" s="318"/>
      <c r="AB51" s="318"/>
      <c r="AC51" s="318"/>
      <c r="AD51" s="318"/>
      <c r="AE51" s="318"/>
      <c r="AF51" s="318"/>
      <c r="AG51" s="318"/>
      <c r="AH51" s="318"/>
      <c r="AI51" s="318"/>
      <c r="AJ51" s="318"/>
      <c r="AK51" s="318"/>
      <c r="AL51" s="318"/>
      <c r="AM51" s="318"/>
      <c r="AN51" s="318"/>
      <c r="AO51" s="318"/>
      <c r="AP51" s="318"/>
    </row>
    <row r="52" spans="2:42" ht="15">
      <c r="B52" s="323">
        <v>38391</v>
      </c>
      <c r="C52" s="324">
        <v>1900</v>
      </c>
      <c r="D52" s="326">
        <v>1581</v>
      </c>
      <c r="E52" s="330">
        <v>0</v>
      </c>
      <c r="F52" s="326">
        <f t="shared" si="9"/>
        <v>1581</v>
      </c>
      <c r="G52" s="326">
        <f aca="true" t="shared" si="12" ref="G52:G62">Q84/2</f>
        <v>170.65</v>
      </c>
      <c r="H52" s="326">
        <f aca="true" t="shared" si="13" ref="H52:H62">Q107/2</f>
        <v>345.45</v>
      </c>
      <c r="I52" s="326">
        <f aca="true" t="shared" si="14" ref="I52:I62">N123</f>
        <v>108.662</v>
      </c>
      <c r="J52" s="326">
        <f t="shared" si="10"/>
        <v>0</v>
      </c>
      <c r="K52" s="326">
        <f t="shared" si="11"/>
        <v>10.515</v>
      </c>
      <c r="L52" s="326">
        <f aca="true" t="shared" si="15" ref="L52:L62">F52-G52+H52-I52+J52+K52</f>
        <v>1657.653</v>
      </c>
      <c r="AA52" s="318"/>
      <c r="AB52" s="318"/>
      <c r="AC52" s="318"/>
      <c r="AD52" s="318"/>
      <c r="AE52" s="318"/>
      <c r="AF52" s="318"/>
      <c r="AG52" s="318"/>
      <c r="AH52" s="318"/>
      <c r="AI52" s="318"/>
      <c r="AJ52" s="318"/>
      <c r="AK52" s="318"/>
      <c r="AL52" s="318"/>
      <c r="AM52" s="318"/>
      <c r="AN52" s="318"/>
      <c r="AO52" s="318"/>
      <c r="AP52" s="318"/>
    </row>
    <row r="53" spans="2:42" ht="15">
      <c r="B53" s="323">
        <v>38433</v>
      </c>
      <c r="C53" s="324">
        <v>2000</v>
      </c>
      <c r="D53" s="326">
        <v>1403</v>
      </c>
      <c r="E53" s="330">
        <v>0</v>
      </c>
      <c r="F53" s="326">
        <f t="shared" si="9"/>
        <v>1403</v>
      </c>
      <c r="G53" s="326">
        <f t="shared" si="12"/>
        <v>154.1</v>
      </c>
      <c r="H53" s="326">
        <f t="shared" si="13"/>
        <v>345.45</v>
      </c>
      <c r="I53" s="326">
        <f t="shared" si="14"/>
        <v>92.439</v>
      </c>
      <c r="J53" s="326">
        <f t="shared" si="10"/>
        <v>0</v>
      </c>
      <c r="K53" s="326">
        <f t="shared" si="11"/>
        <v>9.145</v>
      </c>
      <c r="L53" s="326">
        <f t="shared" si="15"/>
        <v>1511.056</v>
      </c>
      <c r="AA53" s="318"/>
      <c r="AB53" s="318"/>
      <c r="AC53" s="318"/>
      <c r="AD53" s="318"/>
      <c r="AE53" s="318"/>
      <c r="AF53" s="318"/>
      <c r="AG53" s="318"/>
      <c r="AH53" s="318"/>
      <c r="AI53" s="318"/>
      <c r="AJ53" s="318"/>
      <c r="AK53" s="318"/>
      <c r="AL53" s="318"/>
      <c r="AM53" s="318"/>
      <c r="AN53" s="318"/>
      <c r="AO53" s="318"/>
      <c r="AP53" s="318"/>
    </row>
    <row r="54" spans="2:42" ht="15">
      <c r="B54" s="323">
        <v>38462</v>
      </c>
      <c r="C54" s="324">
        <v>1700</v>
      </c>
      <c r="D54" s="326">
        <v>1585</v>
      </c>
      <c r="E54" s="330">
        <v>0</v>
      </c>
      <c r="F54" s="326">
        <f t="shared" si="9"/>
        <v>1585</v>
      </c>
      <c r="G54" s="326">
        <f t="shared" si="12"/>
        <v>134.3</v>
      </c>
      <c r="H54" s="326">
        <f t="shared" si="13"/>
        <v>345.45</v>
      </c>
      <c r="I54" s="326">
        <f t="shared" si="14"/>
        <v>114.984</v>
      </c>
      <c r="J54" s="326">
        <f t="shared" si="10"/>
        <v>0</v>
      </c>
      <c r="K54" s="326">
        <f t="shared" si="11"/>
        <v>10.52</v>
      </c>
      <c r="L54" s="326">
        <f t="shared" si="15"/>
        <v>1691.6860000000001</v>
      </c>
      <c r="AA54" s="318"/>
      <c r="AB54" s="318"/>
      <c r="AC54" s="318"/>
      <c r="AD54" s="318"/>
      <c r="AE54" s="318"/>
      <c r="AF54" s="318"/>
      <c r="AG54" s="318"/>
      <c r="AH54" s="318"/>
      <c r="AI54" s="318"/>
      <c r="AJ54" s="318"/>
      <c r="AK54" s="318"/>
      <c r="AL54" s="318"/>
      <c r="AM54" s="318"/>
      <c r="AN54" s="318"/>
      <c r="AO54" s="318"/>
      <c r="AP54" s="318"/>
    </row>
    <row r="55" spans="2:42" ht="15">
      <c r="B55" s="323">
        <v>38492</v>
      </c>
      <c r="C55" s="324">
        <v>1700</v>
      </c>
      <c r="D55" s="326">
        <v>2095</v>
      </c>
      <c r="E55" s="330">
        <v>0</v>
      </c>
      <c r="F55" s="326">
        <f t="shared" si="9"/>
        <v>2095</v>
      </c>
      <c r="G55" s="326">
        <f t="shared" si="12"/>
        <v>158.25</v>
      </c>
      <c r="H55" s="326">
        <f t="shared" si="13"/>
        <v>345.45</v>
      </c>
      <c r="I55" s="326">
        <f t="shared" si="14"/>
        <v>132.028</v>
      </c>
      <c r="J55" s="326">
        <f t="shared" si="10"/>
        <v>0</v>
      </c>
      <c r="K55" s="326">
        <f t="shared" si="11"/>
        <v>16.321</v>
      </c>
      <c r="L55" s="326">
        <f t="shared" si="15"/>
        <v>2166.493</v>
      </c>
      <c r="AA55" s="318"/>
      <c r="AB55" s="318"/>
      <c r="AC55" s="318"/>
      <c r="AD55" s="318"/>
      <c r="AE55" s="318"/>
      <c r="AF55" s="318"/>
      <c r="AG55" s="318"/>
      <c r="AH55" s="318"/>
      <c r="AI55" s="318"/>
      <c r="AJ55" s="318"/>
      <c r="AK55" s="318"/>
      <c r="AL55" s="318"/>
      <c r="AM55" s="318"/>
      <c r="AN55" s="318"/>
      <c r="AO55" s="318"/>
      <c r="AP55" s="318"/>
    </row>
    <row r="56" spans="2:42" ht="15">
      <c r="B56" s="323">
        <v>38533</v>
      </c>
      <c r="C56" s="324">
        <v>1600</v>
      </c>
      <c r="D56" s="326">
        <v>2422</v>
      </c>
      <c r="E56" s="330">
        <f>4856-D38-D56</f>
        <v>-76</v>
      </c>
      <c r="F56" s="326">
        <f t="shared" si="9"/>
        <v>2346</v>
      </c>
      <c r="G56" s="326">
        <f t="shared" si="12"/>
        <v>89.5</v>
      </c>
      <c r="H56" s="326">
        <f t="shared" si="13"/>
        <v>193.95</v>
      </c>
      <c r="I56" s="326">
        <f t="shared" si="14"/>
        <v>119.458</v>
      </c>
      <c r="J56" s="326">
        <f t="shared" si="10"/>
        <v>46.416</v>
      </c>
      <c r="K56" s="326">
        <f t="shared" si="11"/>
        <v>19.903</v>
      </c>
      <c r="L56" s="326">
        <f t="shared" si="15"/>
        <v>2397.3109999999997</v>
      </c>
      <c r="AA56" s="318"/>
      <c r="AB56" s="318"/>
      <c r="AC56" s="318"/>
      <c r="AD56" s="318"/>
      <c r="AE56" s="318"/>
      <c r="AF56" s="318"/>
      <c r="AG56" s="318"/>
      <c r="AH56" s="318"/>
      <c r="AI56" s="318"/>
      <c r="AJ56" s="318"/>
      <c r="AK56" s="318"/>
      <c r="AL56" s="318"/>
      <c r="AM56" s="318"/>
      <c r="AN56" s="318"/>
      <c r="AO56" s="318"/>
      <c r="AP56" s="318"/>
    </row>
    <row r="57" spans="2:42" ht="15">
      <c r="B57" s="323">
        <v>38558</v>
      </c>
      <c r="C57" s="324">
        <v>1700</v>
      </c>
      <c r="D57" s="326">
        <v>2410</v>
      </c>
      <c r="E57" s="330">
        <v>0</v>
      </c>
      <c r="F57" s="326">
        <f t="shared" si="9"/>
        <v>2410</v>
      </c>
      <c r="G57" s="326">
        <f t="shared" si="12"/>
        <v>95.5</v>
      </c>
      <c r="H57" s="326">
        <f t="shared" si="13"/>
        <v>193.95</v>
      </c>
      <c r="I57" s="326">
        <f t="shared" si="14"/>
        <v>126.515</v>
      </c>
      <c r="J57" s="326">
        <f t="shared" si="10"/>
        <v>50.237</v>
      </c>
      <c r="K57" s="326">
        <f t="shared" si="11"/>
        <v>20.761</v>
      </c>
      <c r="L57" s="326">
        <f t="shared" si="15"/>
        <v>2452.933</v>
      </c>
      <c r="AA57" s="318"/>
      <c r="AB57" s="318"/>
      <c r="AC57" s="318"/>
      <c r="AD57" s="318"/>
      <c r="AE57" s="318"/>
      <c r="AF57" s="318"/>
      <c r="AG57" s="318"/>
      <c r="AH57" s="318"/>
      <c r="AI57" s="318"/>
      <c r="AJ57" s="318"/>
      <c r="AK57" s="318"/>
      <c r="AL57" s="318"/>
      <c r="AM57" s="318"/>
      <c r="AN57" s="318"/>
      <c r="AO57" s="318"/>
      <c r="AP57" s="318"/>
    </row>
    <row r="58" spans="2:42" ht="15">
      <c r="B58" s="323">
        <v>38582</v>
      </c>
      <c r="C58" s="324">
        <v>1700</v>
      </c>
      <c r="D58" s="326">
        <v>2441</v>
      </c>
      <c r="E58" s="330">
        <v>0</v>
      </c>
      <c r="F58" s="326">
        <f t="shared" si="9"/>
        <v>2441</v>
      </c>
      <c r="G58" s="326">
        <f t="shared" si="12"/>
        <v>93.5</v>
      </c>
      <c r="H58" s="326">
        <f t="shared" si="13"/>
        <v>193.95</v>
      </c>
      <c r="I58" s="326">
        <f t="shared" si="14"/>
        <v>126.093</v>
      </c>
      <c r="J58" s="326">
        <f t="shared" si="10"/>
        <v>40.447</v>
      </c>
      <c r="K58" s="326">
        <f t="shared" si="11"/>
        <v>21.496</v>
      </c>
      <c r="L58" s="326">
        <f t="shared" si="15"/>
        <v>2477.3</v>
      </c>
      <c r="Y58" s="318"/>
      <c r="Z58" s="318"/>
      <c r="AA58" s="318"/>
      <c r="AB58" s="318"/>
      <c r="AC58" s="318"/>
      <c r="AD58" s="318"/>
      <c r="AE58" s="318"/>
      <c r="AF58" s="318"/>
      <c r="AG58" s="318"/>
      <c r="AH58" s="318"/>
      <c r="AI58" s="318"/>
      <c r="AJ58" s="318"/>
      <c r="AK58" s="318"/>
      <c r="AL58" s="318"/>
      <c r="AM58" s="318"/>
      <c r="AN58" s="318"/>
      <c r="AO58" s="318"/>
      <c r="AP58" s="318"/>
    </row>
    <row r="59" spans="2:42" ht="15">
      <c r="B59" s="323">
        <v>38617</v>
      </c>
      <c r="C59" s="324">
        <v>1700</v>
      </c>
      <c r="D59" s="326">
        <v>2312</v>
      </c>
      <c r="E59" s="330">
        <f>4708-D41-D59</f>
        <v>-11</v>
      </c>
      <c r="F59" s="326">
        <f t="shared" si="9"/>
        <v>2301</v>
      </c>
      <c r="G59" s="326">
        <f t="shared" si="12"/>
        <v>94</v>
      </c>
      <c r="H59" s="326">
        <f t="shared" si="13"/>
        <v>193.95</v>
      </c>
      <c r="I59" s="326">
        <f t="shared" si="14"/>
        <v>133.752</v>
      </c>
      <c r="J59" s="326">
        <f t="shared" si="10"/>
        <v>28.062</v>
      </c>
      <c r="K59" s="326">
        <f t="shared" si="11"/>
        <v>19.47</v>
      </c>
      <c r="L59" s="326">
        <f t="shared" si="15"/>
        <v>2314.7299999999996</v>
      </c>
      <c r="Y59" s="318"/>
      <c r="Z59" s="318"/>
      <c r="AA59" s="318"/>
      <c r="AB59" s="318"/>
      <c r="AC59" s="318"/>
      <c r="AD59" s="318"/>
      <c r="AE59" s="318"/>
      <c r="AF59" s="318"/>
      <c r="AG59" s="318"/>
      <c r="AH59" s="318"/>
      <c r="AI59" s="318"/>
      <c r="AJ59" s="318"/>
      <c r="AK59" s="318"/>
      <c r="AL59" s="318"/>
      <c r="AM59" s="318"/>
      <c r="AN59" s="318"/>
      <c r="AO59" s="318"/>
      <c r="AP59" s="318"/>
    </row>
    <row r="60" spans="2:42" ht="15">
      <c r="B60" s="323">
        <v>38628</v>
      </c>
      <c r="C60" s="324">
        <v>1600</v>
      </c>
      <c r="D60" s="326">
        <v>2084</v>
      </c>
      <c r="E60" s="330">
        <f>4231-D42-D60</f>
        <v>-34</v>
      </c>
      <c r="F60" s="326">
        <f t="shared" si="9"/>
        <v>2050</v>
      </c>
      <c r="G60" s="326">
        <f t="shared" si="12"/>
        <v>86</v>
      </c>
      <c r="H60" s="326">
        <f t="shared" si="13"/>
        <v>193.95</v>
      </c>
      <c r="I60" s="326">
        <f t="shared" si="14"/>
        <v>111.966</v>
      </c>
      <c r="J60" s="326">
        <f t="shared" si="10"/>
        <v>0</v>
      </c>
      <c r="K60" s="326">
        <f t="shared" si="11"/>
        <v>0</v>
      </c>
      <c r="L60" s="326">
        <f t="shared" si="15"/>
        <v>2045.984</v>
      </c>
      <c r="Y60" s="318"/>
      <c r="Z60" s="318"/>
      <c r="AA60" s="318"/>
      <c r="AB60" s="318"/>
      <c r="AC60" s="318"/>
      <c r="AD60" s="318"/>
      <c r="AE60" s="318"/>
      <c r="AF60" s="318"/>
      <c r="AG60" s="318"/>
      <c r="AH60" s="318"/>
      <c r="AI60" s="318"/>
      <c r="AJ60" s="318"/>
      <c r="AK60" s="318"/>
      <c r="AL60" s="318"/>
      <c r="AM60" s="318"/>
      <c r="AN60" s="318"/>
      <c r="AO60" s="318"/>
      <c r="AP60" s="318"/>
    </row>
    <row r="61" spans="2:42" ht="15">
      <c r="B61" s="323">
        <v>38684</v>
      </c>
      <c r="C61" s="324">
        <v>1900</v>
      </c>
      <c r="D61" s="326">
        <v>1670</v>
      </c>
      <c r="E61" s="330">
        <v>0</v>
      </c>
      <c r="F61" s="326">
        <f t="shared" si="9"/>
        <v>1670</v>
      </c>
      <c r="G61" s="326">
        <f t="shared" si="12"/>
        <v>85</v>
      </c>
      <c r="H61" s="326">
        <f t="shared" si="13"/>
        <v>193.95</v>
      </c>
      <c r="I61" s="326">
        <f t="shared" si="14"/>
        <v>113.598</v>
      </c>
      <c r="J61" s="326">
        <f t="shared" si="10"/>
        <v>0</v>
      </c>
      <c r="K61" s="326">
        <f t="shared" si="11"/>
        <v>0</v>
      </c>
      <c r="L61" s="326">
        <f t="shared" si="15"/>
        <v>1665.352</v>
      </c>
      <c r="Y61" s="318"/>
      <c r="Z61" s="318"/>
      <c r="AA61" s="318"/>
      <c r="AB61" s="318"/>
      <c r="AC61" s="318"/>
      <c r="AD61" s="318"/>
      <c r="AE61" s="318"/>
      <c r="AF61" s="318"/>
      <c r="AG61" s="318"/>
      <c r="AH61" s="318"/>
      <c r="AI61" s="318"/>
      <c r="AJ61" s="318"/>
      <c r="AK61" s="318"/>
      <c r="AL61" s="318"/>
      <c r="AM61" s="318"/>
      <c r="AN61" s="318"/>
      <c r="AO61" s="318"/>
      <c r="AP61" s="318"/>
    </row>
    <row r="62" spans="2:42" ht="15">
      <c r="B62" s="323">
        <v>38693</v>
      </c>
      <c r="C62" s="324">
        <v>1900</v>
      </c>
      <c r="D62" s="370">
        <v>1832</v>
      </c>
      <c r="E62" s="429">
        <v>0</v>
      </c>
      <c r="F62" s="326">
        <f t="shared" si="9"/>
        <v>1832</v>
      </c>
      <c r="G62" s="326">
        <f t="shared" si="12"/>
        <v>79.5</v>
      </c>
      <c r="H62" s="326">
        <f t="shared" si="13"/>
        <v>193.95</v>
      </c>
      <c r="I62" s="326">
        <f t="shared" si="14"/>
        <v>111.955</v>
      </c>
      <c r="J62" s="326">
        <f t="shared" si="10"/>
        <v>0</v>
      </c>
      <c r="K62" s="326">
        <f t="shared" si="11"/>
        <v>0</v>
      </c>
      <c r="L62" s="326">
        <f t="shared" si="15"/>
        <v>1834.4950000000001</v>
      </c>
      <c r="Y62" s="318"/>
      <c r="Z62" s="318"/>
      <c r="AA62" s="318"/>
      <c r="AB62" s="318"/>
      <c r="AC62" s="318"/>
      <c r="AD62" s="318"/>
      <c r="AE62" s="318"/>
      <c r="AF62" s="318"/>
      <c r="AG62" s="318"/>
      <c r="AH62" s="318"/>
      <c r="AI62" s="318"/>
      <c r="AJ62" s="318"/>
      <c r="AK62" s="318"/>
      <c r="AL62" s="318"/>
      <c r="AM62" s="318"/>
      <c r="AN62" s="318"/>
      <c r="AO62" s="318"/>
      <c r="AP62" s="318"/>
    </row>
    <row r="63" spans="2:42" ht="15">
      <c r="B63" s="327" t="s">
        <v>113</v>
      </c>
      <c r="C63" s="327"/>
      <c r="D63" s="330">
        <f aca="true" t="shared" si="16" ref="D63:L63">SUM(D51:D62)</f>
        <v>23421</v>
      </c>
      <c r="E63" s="330">
        <f t="shared" si="16"/>
        <v>-121</v>
      </c>
      <c r="F63" s="326">
        <f t="shared" si="16"/>
        <v>23300</v>
      </c>
      <c r="G63" s="326">
        <f t="shared" si="16"/>
        <v>1404.4</v>
      </c>
      <c r="H63" s="326">
        <f t="shared" si="16"/>
        <v>3084.899999999999</v>
      </c>
      <c r="I63" s="326">
        <f t="shared" si="16"/>
        <v>1410.3179999999998</v>
      </c>
      <c r="J63" s="326">
        <f t="shared" si="16"/>
        <v>165.162</v>
      </c>
      <c r="K63" s="326">
        <f t="shared" si="16"/>
        <v>132.47699999999998</v>
      </c>
      <c r="L63" s="326">
        <f t="shared" si="16"/>
        <v>23867.820999999996</v>
      </c>
      <c r="AG63" s="318"/>
      <c r="AH63" s="318"/>
      <c r="AI63" s="318"/>
      <c r="AJ63" s="318"/>
      <c r="AK63" s="318"/>
      <c r="AL63" s="318"/>
      <c r="AM63" s="318"/>
      <c r="AN63" s="318"/>
      <c r="AO63" s="318"/>
      <c r="AP63" s="318"/>
    </row>
    <row r="64" spans="2:42" ht="15">
      <c r="B64" s="327" t="s">
        <v>674</v>
      </c>
      <c r="C64" s="327"/>
      <c r="D64" s="330">
        <f aca="true" t="shared" si="17" ref="D64:K64">D63/12</f>
        <v>1951.75</v>
      </c>
      <c r="E64" s="330">
        <f t="shared" si="17"/>
        <v>-10.083333333333334</v>
      </c>
      <c r="F64" s="326">
        <f t="shared" si="17"/>
        <v>1941.6666666666667</v>
      </c>
      <c r="G64" s="326">
        <f t="shared" si="17"/>
        <v>117.03333333333335</v>
      </c>
      <c r="H64" s="326">
        <f t="shared" si="17"/>
        <v>257.07499999999993</v>
      </c>
      <c r="I64" s="326">
        <f t="shared" si="17"/>
        <v>117.52649999999998</v>
      </c>
      <c r="J64" s="326">
        <f t="shared" si="17"/>
        <v>13.7635</v>
      </c>
      <c r="K64" s="326">
        <f t="shared" si="17"/>
        <v>11.039749999999998</v>
      </c>
      <c r="L64" s="326">
        <f>ROUND(L63/12,2)</f>
        <v>1988.99</v>
      </c>
      <c r="AG64" s="318"/>
      <c r="AH64" s="318"/>
      <c r="AI64" s="318"/>
      <c r="AJ64" s="318"/>
      <c r="AK64" s="318"/>
      <c r="AL64" s="318"/>
      <c r="AM64" s="318"/>
      <c r="AN64" s="318"/>
      <c r="AO64" s="318"/>
      <c r="AP64" s="318"/>
    </row>
    <row r="65" spans="1:42" ht="21">
      <c r="A65" s="364" t="str">
        <f>A1</f>
        <v>Worksheet B-WE Divisor</v>
      </c>
      <c r="B65" s="312"/>
      <c r="C65" s="312"/>
      <c r="M65" s="319"/>
      <c r="N65" s="319"/>
      <c r="O65" s="319"/>
      <c r="P65" s="319"/>
      <c r="Q65" s="372" t="s">
        <v>346</v>
      </c>
      <c r="AG65" s="318"/>
      <c r="AH65" s="318"/>
      <c r="AI65" s="318"/>
      <c r="AJ65" s="318"/>
      <c r="AK65" s="318"/>
      <c r="AL65" s="318"/>
      <c r="AM65" s="318"/>
      <c r="AN65" s="318"/>
      <c r="AO65" s="318"/>
      <c r="AP65" s="318"/>
    </row>
    <row r="66" spans="2:42" ht="15">
      <c r="B66" s="312"/>
      <c r="C66" s="312"/>
      <c r="M66" s="319"/>
      <c r="N66" s="319"/>
      <c r="O66" s="319"/>
      <c r="P66" s="319"/>
      <c r="Q66" s="319"/>
      <c r="AG66" s="318"/>
      <c r="AH66" s="318"/>
      <c r="AI66" s="318"/>
      <c r="AJ66" s="318"/>
      <c r="AK66" s="318"/>
      <c r="AL66" s="318"/>
      <c r="AM66" s="318"/>
      <c r="AN66" s="318"/>
      <c r="AO66" s="318"/>
      <c r="AP66" s="318"/>
    </row>
    <row r="67" spans="2:42" ht="17.25">
      <c r="B67" s="520" t="s">
        <v>665</v>
      </c>
      <c r="C67" s="516"/>
      <c r="D67" s="516"/>
      <c r="E67" s="516"/>
      <c r="F67" s="516"/>
      <c r="G67" s="516"/>
      <c r="H67" s="516"/>
      <c r="I67" s="516"/>
      <c r="J67" s="516"/>
      <c r="K67" s="516"/>
      <c r="L67" s="510"/>
      <c r="M67" s="510"/>
      <c r="N67" s="510"/>
      <c r="O67" s="510"/>
      <c r="P67" s="510"/>
      <c r="Q67" s="510"/>
      <c r="AG67" s="318"/>
      <c r="AH67" s="318"/>
      <c r="AI67" s="318"/>
      <c r="AJ67" s="318"/>
      <c r="AK67" s="318"/>
      <c r="AL67" s="318"/>
      <c r="AM67" s="318"/>
      <c r="AN67" s="318"/>
      <c r="AO67" s="318"/>
      <c r="AP67" s="318"/>
    </row>
    <row r="68" spans="2:42" ht="17.25">
      <c r="B68" s="520" t="s">
        <v>21</v>
      </c>
      <c r="C68" s="516"/>
      <c r="D68" s="516"/>
      <c r="E68" s="516"/>
      <c r="F68" s="516"/>
      <c r="G68" s="516"/>
      <c r="H68" s="516"/>
      <c r="I68" s="516"/>
      <c r="J68" s="516"/>
      <c r="K68" s="516"/>
      <c r="L68" s="510"/>
      <c r="M68" s="510"/>
      <c r="N68" s="510"/>
      <c r="O68" s="510"/>
      <c r="P68" s="510"/>
      <c r="Q68" s="510"/>
      <c r="AG68" s="318"/>
      <c r="AH68" s="318"/>
      <c r="AI68" s="318"/>
      <c r="AJ68" s="318"/>
      <c r="AK68" s="318"/>
      <c r="AL68" s="318"/>
      <c r="AM68" s="318"/>
      <c r="AN68" s="318"/>
      <c r="AO68" s="318"/>
      <c r="AP68" s="318"/>
    </row>
    <row r="69" spans="2:42" ht="17.25">
      <c r="B69" s="421"/>
      <c r="C69" s="174"/>
      <c r="D69" s="174"/>
      <c r="E69" s="174"/>
      <c r="F69" s="174"/>
      <c r="G69" s="174"/>
      <c r="H69" s="174"/>
      <c r="I69" s="428" t="str">
        <f>G5</f>
        <v>Year Ending:</v>
      </c>
      <c r="K69" s="427">
        <f>H5</f>
        <v>2005</v>
      </c>
      <c r="L69"/>
      <c r="M69"/>
      <c r="N69"/>
      <c r="O69"/>
      <c r="P69"/>
      <c r="Q69"/>
      <c r="AG69" s="318"/>
      <c r="AH69" s="318"/>
      <c r="AI69" s="318"/>
      <c r="AJ69" s="318"/>
      <c r="AK69" s="318"/>
      <c r="AL69" s="318"/>
      <c r="AM69" s="318"/>
      <c r="AN69" s="318"/>
      <c r="AO69" s="318"/>
      <c r="AP69" s="318"/>
    </row>
    <row r="70" spans="2:42" ht="15">
      <c r="B70" s="519" t="s">
        <v>65</v>
      </c>
      <c r="C70" s="516"/>
      <c r="D70" s="516"/>
      <c r="E70" s="516"/>
      <c r="F70" s="516"/>
      <c r="G70" s="516"/>
      <c r="H70" s="516"/>
      <c r="I70" s="516"/>
      <c r="J70" s="516"/>
      <c r="K70" s="516"/>
      <c r="L70" s="516"/>
      <c r="M70" s="516"/>
      <c r="N70" s="516"/>
      <c r="O70" s="516"/>
      <c r="P70" s="516"/>
      <c r="Q70" s="516"/>
      <c r="AG70" s="318"/>
      <c r="AH70" s="318"/>
      <c r="AI70" s="318"/>
      <c r="AJ70" s="318"/>
      <c r="AK70" s="318"/>
      <c r="AL70" s="318"/>
      <c r="AM70" s="318"/>
      <c r="AN70" s="318"/>
      <c r="AO70" s="318"/>
      <c r="AP70" s="318"/>
    </row>
    <row r="71" spans="2:42" ht="15">
      <c r="B71" s="174"/>
      <c r="AG71" s="318"/>
      <c r="AH71" s="318"/>
      <c r="AI71" s="318"/>
      <c r="AJ71" s="318"/>
      <c r="AK71" s="318"/>
      <c r="AL71" s="318"/>
      <c r="AM71" s="318"/>
      <c r="AN71" s="318"/>
      <c r="AO71" s="318"/>
      <c r="AP71" s="318"/>
    </row>
    <row r="72" spans="2:42" ht="15">
      <c r="B72" s="17">
        <v>1</v>
      </c>
      <c r="C72" s="368" t="s">
        <v>40</v>
      </c>
      <c r="D72" s="137"/>
      <c r="E72" s="137"/>
      <c r="F72" s="137"/>
      <c r="G72" s="137"/>
      <c r="H72" s="143"/>
      <c r="I72" s="143"/>
      <c r="J72" s="143"/>
      <c r="K72" s="143"/>
      <c r="L72" s="143"/>
      <c r="M72" s="143"/>
      <c r="N72" s="143"/>
      <c r="O72" s="143"/>
      <c r="P72" s="143"/>
      <c r="Q72" s="143"/>
      <c r="AG72" s="318"/>
      <c r="AH72" s="318"/>
      <c r="AI72" s="318"/>
      <c r="AJ72" s="318"/>
      <c r="AK72" s="318"/>
      <c r="AL72" s="318"/>
      <c r="AM72" s="318"/>
      <c r="AN72" s="318"/>
      <c r="AO72" s="318"/>
      <c r="AP72" s="318"/>
    </row>
    <row r="73" spans="2:42" ht="15">
      <c r="B73" s="269"/>
      <c r="C73" s="137"/>
      <c r="D73" s="137"/>
      <c r="E73" s="137"/>
      <c r="F73" s="137"/>
      <c r="G73" s="137"/>
      <c r="H73" s="143"/>
      <c r="I73" s="143"/>
      <c r="J73" s="143"/>
      <c r="K73" s="143"/>
      <c r="L73" s="143"/>
      <c r="M73" s="143"/>
      <c r="N73" s="143"/>
      <c r="O73" s="143"/>
      <c r="P73" s="143"/>
      <c r="Q73" s="143"/>
      <c r="AG73" s="318"/>
      <c r="AH73" s="318"/>
      <c r="AI73" s="318"/>
      <c r="AJ73" s="318"/>
      <c r="AK73" s="318"/>
      <c r="AL73" s="318"/>
      <c r="AM73" s="318"/>
      <c r="AN73" s="318"/>
      <c r="AO73" s="318"/>
      <c r="AP73" s="318"/>
    </row>
    <row r="74" spans="2:42" ht="15">
      <c r="B74" s="17">
        <v>2</v>
      </c>
      <c r="C74" s="368" t="s">
        <v>734</v>
      </c>
      <c r="D74" s="137"/>
      <c r="E74" s="137"/>
      <c r="F74" s="137"/>
      <c r="G74" s="137"/>
      <c r="H74" s="143"/>
      <c r="I74" s="143"/>
      <c r="J74" s="143"/>
      <c r="K74" s="143"/>
      <c r="L74" s="143"/>
      <c r="M74" s="143"/>
      <c r="N74" s="143"/>
      <c r="O74" s="143"/>
      <c r="P74" s="143"/>
      <c r="Q74" s="143"/>
      <c r="AG74" s="318"/>
      <c r="AH74" s="318"/>
      <c r="AI74" s="318"/>
      <c r="AJ74" s="318"/>
      <c r="AK74" s="318"/>
      <c r="AL74" s="318"/>
      <c r="AM74" s="318"/>
      <c r="AN74" s="318"/>
      <c r="AO74" s="318"/>
      <c r="AP74" s="318"/>
    </row>
    <row r="75" spans="2:42" ht="15">
      <c r="B75" s="269"/>
      <c r="C75" s="137"/>
      <c r="D75" s="137"/>
      <c r="E75" s="137"/>
      <c r="F75" s="137"/>
      <c r="G75" s="137"/>
      <c r="H75" s="143"/>
      <c r="I75" s="143"/>
      <c r="J75" s="143"/>
      <c r="K75" s="143"/>
      <c r="L75" s="143"/>
      <c r="M75" s="143"/>
      <c r="N75" s="143"/>
      <c r="O75" s="143"/>
      <c r="P75" s="143"/>
      <c r="Q75" s="143"/>
      <c r="AG75" s="318"/>
      <c r="AH75" s="318"/>
      <c r="AI75" s="318"/>
      <c r="AJ75" s="318"/>
      <c r="AK75" s="318"/>
      <c r="AL75" s="318"/>
      <c r="AM75" s="318"/>
      <c r="AN75" s="318"/>
      <c r="AO75" s="318"/>
      <c r="AP75" s="318"/>
    </row>
    <row r="76" spans="2:42" ht="15">
      <c r="B76" s="17">
        <v>3</v>
      </c>
      <c r="C76" s="368" t="s">
        <v>66</v>
      </c>
      <c r="D76" s="137"/>
      <c r="E76" s="137"/>
      <c r="F76" s="137"/>
      <c r="G76" s="137"/>
      <c r="H76" s="143"/>
      <c r="I76" s="143"/>
      <c r="J76" s="143"/>
      <c r="K76" s="143"/>
      <c r="L76" s="143"/>
      <c r="M76" s="143"/>
      <c r="N76" s="143"/>
      <c r="O76" s="143"/>
      <c r="P76" s="143"/>
      <c r="Q76" s="143"/>
      <c r="AG76" s="318"/>
      <c r="AH76" s="318"/>
      <c r="AI76" s="318"/>
      <c r="AJ76" s="318"/>
      <c r="AK76" s="318"/>
      <c r="AL76" s="318"/>
      <c r="AM76" s="318"/>
      <c r="AN76" s="318"/>
      <c r="AO76" s="318"/>
      <c r="AP76" s="318"/>
    </row>
    <row r="77" spans="2:42" ht="15">
      <c r="B77" s="269"/>
      <c r="C77" s="137"/>
      <c r="D77" s="137"/>
      <c r="E77" s="137"/>
      <c r="F77" s="137"/>
      <c r="G77" s="137"/>
      <c r="H77" s="143"/>
      <c r="I77" s="143"/>
      <c r="J77" s="143"/>
      <c r="K77" s="143"/>
      <c r="L77" s="143"/>
      <c r="M77" s="143"/>
      <c r="N77" s="143"/>
      <c r="O77" s="143"/>
      <c r="P77" s="143"/>
      <c r="Q77" s="143"/>
      <c r="Y77" s="318"/>
      <c r="Z77" s="318"/>
      <c r="AA77" s="318"/>
      <c r="AB77" s="318"/>
      <c r="AC77" s="318"/>
      <c r="AD77" s="318"/>
      <c r="AE77" s="318"/>
      <c r="AF77" s="318"/>
      <c r="AG77" s="318"/>
      <c r="AH77" s="318"/>
      <c r="AI77" s="318"/>
      <c r="AJ77" s="318"/>
      <c r="AK77" s="318"/>
      <c r="AL77" s="318"/>
      <c r="AM77" s="318"/>
      <c r="AN77" s="318"/>
      <c r="AO77" s="318"/>
      <c r="AP77" s="318"/>
    </row>
    <row r="78" spans="2:42" ht="15">
      <c r="B78" s="17">
        <v>4</v>
      </c>
      <c r="C78" s="368" t="s">
        <v>791</v>
      </c>
      <c r="D78" s="137"/>
      <c r="E78" s="137"/>
      <c r="F78" s="137"/>
      <c r="G78" s="137"/>
      <c r="H78" s="143"/>
      <c r="I78" s="143"/>
      <c r="J78" s="143"/>
      <c r="K78" s="143"/>
      <c r="L78" s="143"/>
      <c r="M78" s="143"/>
      <c r="N78" s="143"/>
      <c r="O78" s="143"/>
      <c r="P78" s="143"/>
      <c r="Q78" s="143"/>
      <c r="Y78" s="318"/>
      <c r="Z78" s="318"/>
      <c r="AA78" s="318"/>
      <c r="AB78" s="318"/>
      <c r="AC78" s="318"/>
      <c r="AD78" s="318"/>
      <c r="AE78" s="318"/>
      <c r="AF78" s="318"/>
      <c r="AG78" s="318"/>
      <c r="AH78" s="318"/>
      <c r="AI78" s="318"/>
      <c r="AJ78" s="318"/>
      <c r="AK78" s="318"/>
      <c r="AL78" s="318"/>
      <c r="AM78" s="318"/>
      <c r="AN78" s="318"/>
      <c r="AO78" s="318"/>
      <c r="AP78" s="318"/>
    </row>
    <row r="79" spans="2:42" ht="15">
      <c r="B79" s="17"/>
      <c r="C79" s="368" t="s">
        <v>790</v>
      </c>
      <c r="D79" s="137"/>
      <c r="E79" s="137"/>
      <c r="F79" s="137"/>
      <c r="G79" s="137"/>
      <c r="H79" s="143"/>
      <c r="I79" s="143"/>
      <c r="J79" s="143"/>
      <c r="K79" s="143"/>
      <c r="L79" s="143"/>
      <c r="M79" s="143"/>
      <c r="N79" s="143"/>
      <c r="O79" s="143"/>
      <c r="P79" s="143"/>
      <c r="Q79" s="143"/>
      <c r="Y79" s="318"/>
      <c r="Z79" s="318"/>
      <c r="AA79" s="318"/>
      <c r="AB79" s="318"/>
      <c r="AC79" s="318"/>
      <c r="AD79" s="318"/>
      <c r="AE79" s="318"/>
      <c r="AF79" s="318"/>
      <c r="AG79" s="318"/>
      <c r="AH79" s="318"/>
      <c r="AI79" s="318"/>
      <c r="AJ79" s="318"/>
      <c r="AK79" s="318"/>
      <c r="AL79" s="318"/>
      <c r="AM79" s="318"/>
      <c r="AN79" s="318"/>
      <c r="AO79" s="318"/>
      <c r="AP79" s="318"/>
    </row>
    <row r="80" spans="2:42" ht="15">
      <c r="B80" s="269"/>
      <c r="C80" s="137"/>
      <c r="D80" s="137"/>
      <c r="E80" s="137"/>
      <c r="F80" s="137"/>
      <c r="G80" s="137"/>
      <c r="H80" s="143"/>
      <c r="I80" s="143"/>
      <c r="J80" s="143"/>
      <c r="K80" s="143"/>
      <c r="L80" s="143"/>
      <c r="M80" s="143"/>
      <c r="N80" s="143"/>
      <c r="O80" s="137"/>
      <c r="P80" s="143"/>
      <c r="Q80" s="331" t="s">
        <v>682</v>
      </c>
      <c r="Y80" s="318"/>
      <c r="Z80" s="318"/>
      <c r="AA80" s="318"/>
      <c r="AB80" s="318"/>
      <c r="AC80" s="318"/>
      <c r="AD80" s="318"/>
      <c r="AE80" s="318"/>
      <c r="AF80" s="318"/>
      <c r="AG80" s="318"/>
      <c r="AH80" s="318"/>
      <c r="AI80" s="318"/>
      <c r="AJ80" s="318"/>
      <c r="AK80" s="318"/>
      <c r="AL80" s="318"/>
      <c r="AM80" s="318"/>
      <c r="AN80" s="318"/>
      <c r="AO80" s="318"/>
      <c r="AP80" s="318"/>
    </row>
    <row r="81" spans="2:42" ht="15">
      <c r="B81" s="269"/>
      <c r="C81" s="137"/>
      <c r="D81" s="137"/>
      <c r="E81" s="137"/>
      <c r="F81" s="332" t="s">
        <v>683</v>
      </c>
      <c r="G81" s="332" t="s">
        <v>684</v>
      </c>
      <c r="H81" s="332" t="s">
        <v>685</v>
      </c>
      <c r="I81" s="332" t="s">
        <v>686</v>
      </c>
      <c r="J81" s="332" t="s">
        <v>287</v>
      </c>
      <c r="K81" s="333" t="s">
        <v>687</v>
      </c>
      <c r="L81" s="333" t="s">
        <v>688</v>
      </c>
      <c r="M81" s="332" t="s">
        <v>689</v>
      </c>
      <c r="N81" s="334"/>
      <c r="O81" s="335" t="s">
        <v>690</v>
      </c>
      <c r="P81" s="336"/>
      <c r="Q81" s="335" t="s">
        <v>691</v>
      </c>
      <c r="Y81" s="318"/>
      <c r="Z81" s="318"/>
      <c r="AA81" s="318"/>
      <c r="AB81" s="318"/>
      <c r="AC81" s="318"/>
      <c r="AD81" s="318"/>
      <c r="AE81" s="318"/>
      <c r="AF81" s="318"/>
      <c r="AG81" s="318"/>
      <c r="AH81" s="318"/>
      <c r="AI81" s="318"/>
      <c r="AJ81" s="318"/>
      <c r="AK81" s="318"/>
      <c r="AL81" s="318"/>
      <c r="AM81" s="318"/>
      <c r="AN81" s="318"/>
      <c r="AO81" s="318"/>
      <c r="AP81" s="318"/>
    </row>
    <row r="82" spans="2:42" ht="15">
      <c r="B82" s="269"/>
      <c r="C82" s="337"/>
      <c r="D82" s="137"/>
      <c r="E82" s="337"/>
      <c r="F82" s="338" t="s">
        <v>692</v>
      </c>
      <c r="G82" s="339" t="s">
        <v>693</v>
      </c>
      <c r="H82" s="339" t="s">
        <v>694</v>
      </c>
      <c r="I82" s="339" t="s">
        <v>695</v>
      </c>
      <c r="J82" s="339" t="s">
        <v>696</v>
      </c>
      <c r="K82" s="339" t="s">
        <v>697</v>
      </c>
      <c r="L82" s="338" t="s">
        <v>697</v>
      </c>
      <c r="M82" s="339" t="s">
        <v>698</v>
      </c>
      <c r="N82" s="339" t="s">
        <v>699</v>
      </c>
      <c r="O82" s="339" t="s">
        <v>700</v>
      </c>
      <c r="P82" s="338" t="s">
        <v>701</v>
      </c>
      <c r="Q82" s="338" t="s">
        <v>702</v>
      </c>
      <c r="Y82" s="318"/>
      <c r="Z82" s="318"/>
      <c r="AA82" s="318"/>
      <c r="AB82" s="318"/>
      <c r="AC82" s="318"/>
      <c r="AD82" s="318"/>
      <c r="AE82" s="318"/>
      <c r="AF82" s="318"/>
      <c r="AG82" s="318"/>
      <c r="AH82" s="318"/>
      <c r="AI82" s="318"/>
      <c r="AJ82" s="318"/>
      <c r="AK82" s="318"/>
      <c r="AL82" s="318"/>
      <c r="AM82" s="318"/>
      <c r="AN82" s="318"/>
      <c r="AO82" s="318"/>
      <c r="AP82" s="318"/>
    </row>
    <row r="83" spans="2:54" ht="15">
      <c r="B83" s="269"/>
      <c r="C83" s="340" t="s">
        <v>703</v>
      </c>
      <c r="D83" s="503">
        <v>1000</v>
      </c>
      <c r="E83" s="502">
        <v>38366</v>
      </c>
      <c r="F83" s="341"/>
      <c r="G83" s="341">
        <v>0</v>
      </c>
      <c r="H83" s="341">
        <v>7</v>
      </c>
      <c r="I83" s="341">
        <v>42</v>
      </c>
      <c r="J83" s="341">
        <v>18</v>
      </c>
      <c r="K83" s="342">
        <v>0</v>
      </c>
      <c r="L83" s="341">
        <v>0</v>
      </c>
      <c r="M83" s="341">
        <v>163.2</v>
      </c>
      <c r="N83" s="341">
        <v>98</v>
      </c>
      <c r="O83" s="341">
        <v>0</v>
      </c>
      <c r="P83" s="341">
        <v>0</v>
      </c>
      <c r="Q83" s="343">
        <f>ROUND(SUM(F83:P83),1)</f>
        <v>328.2</v>
      </c>
      <c r="AA83" s="344"/>
      <c r="AB83" s="344"/>
      <c r="AC83" s="344"/>
      <c r="AD83" s="344"/>
      <c r="AE83" s="344"/>
      <c r="AF83" s="344"/>
      <c r="AG83" s="344"/>
      <c r="AH83" s="344"/>
      <c r="AI83" s="344"/>
      <c r="AJ83" s="344"/>
      <c r="AK83" s="344"/>
      <c r="AL83" s="344"/>
      <c r="AM83" s="344"/>
      <c r="AN83" s="344"/>
      <c r="AO83" s="344"/>
      <c r="AP83" s="344"/>
      <c r="AQ83" s="337"/>
      <c r="AR83" s="337"/>
      <c r="AS83" s="337"/>
      <c r="AT83" s="337"/>
      <c r="AU83" s="337"/>
      <c r="AV83" s="337"/>
      <c r="AW83" s="337"/>
      <c r="AX83" s="337"/>
      <c r="AY83" s="337"/>
      <c r="AZ83" s="337"/>
      <c r="BA83" s="337"/>
      <c r="BB83" s="337"/>
    </row>
    <row r="84" spans="2:42" ht="15">
      <c r="B84" s="269"/>
      <c r="C84" s="340" t="s">
        <v>704</v>
      </c>
      <c r="D84" s="503">
        <v>1900</v>
      </c>
      <c r="E84" s="502">
        <v>38391</v>
      </c>
      <c r="F84" s="341"/>
      <c r="G84" s="341">
        <v>2</v>
      </c>
      <c r="H84" s="341">
        <v>6</v>
      </c>
      <c r="I84" s="341">
        <v>41</v>
      </c>
      <c r="J84" s="341">
        <v>17</v>
      </c>
      <c r="K84" s="342">
        <v>1</v>
      </c>
      <c r="L84" s="341">
        <v>1</v>
      </c>
      <c r="M84" s="341">
        <v>180.3</v>
      </c>
      <c r="N84" s="341">
        <v>93</v>
      </c>
      <c r="O84" s="341">
        <v>0</v>
      </c>
      <c r="P84" s="341">
        <v>0</v>
      </c>
      <c r="Q84" s="343">
        <f aca="true" t="shared" si="18" ref="Q84:Q94">ROUND(SUM(F84:P84),1)</f>
        <v>341.3</v>
      </c>
      <c r="AA84" s="318"/>
      <c r="AB84" s="318"/>
      <c r="AC84" s="318"/>
      <c r="AD84" s="318"/>
      <c r="AE84" s="318"/>
      <c r="AF84" s="318"/>
      <c r="AG84" s="318"/>
      <c r="AH84" s="318"/>
      <c r="AI84" s="318"/>
      <c r="AJ84" s="318"/>
      <c r="AK84" s="318"/>
      <c r="AL84" s="318"/>
      <c r="AM84" s="318"/>
      <c r="AN84" s="318"/>
      <c r="AO84" s="318"/>
      <c r="AP84" s="318"/>
    </row>
    <row r="85" spans="2:42" ht="15">
      <c r="B85" s="269"/>
      <c r="C85" s="340" t="s">
        <v>705</v>
      </c>
      <c r="D85" s="503">
        <v>2000</v>
      </c>
      <c r="E85" s="502">
        <v>38433</v>
      </c>
      <c r="F85" s="341"/>
      <c r="G85" s="341">
        <v>1</v>
      </c>
      <c r="H85" s="341">
        <v>6</v>
      </c>
      <c r="I85" s="341">
        <v>42</v>
      </c>
      <c r="J85" s="341">
        <v>18</v>
      </c>
      <c r="K85" s="342">
        <v>0</v>
      </c>
      <c r="L85" s="341">
        <v>0</v>
      </c>
      <c r="M85" s="341">
        <v>153.2</v>
      </c>
      <c r="N85" s="341">
        <v>88</v>
      </c>
      <c r="O85" s="341">
        <v>0</v>
      </c>
      <c r="P85" s="341">
        <v>0</v>
      </c>
      <c r="Q85" s="343">
        <f t="shared" si="18"/>
        <v>308.2</v>
      </c>
      <c r="AA85" s="318"/>
      <c r="AB85" s="318"/>
      <c r="AC85" s="318"/>
      <c r="AD85" s="318"/>
      <c r="AE85" s="318"/>
      <c r="AF85" s="318"/>
      <c r="AG85" s="318"/>
      <c r="AH85" s="318"/>
      <c r="AI85" s="318"/>
      <c r="AJ85" s="318"/>
      <c r="AK85" s="318"/>
      <c r="AL85" s="318"/>
      <c r="AM85" s="318"/>
      <c r="AN85" s="318"/>
      <c r="AO85" s="318"/>
      <c r="AP85" s="318"/>
    </row>
    <row r="86" spans="2:42" ht="15">
      <c r="B86" s="269"/>
      <c r="C86" s="340" t="s">
        <v>706</v>
      </c>
      <c r="D86" s="503">
        <v>1700</v>
      </c>
      <c r="E86" s="502">
        <v>38462</v>
      </c>
      <c r="F86" s="341"/>
      <c r="G86" s="341">
        <v>0</v>
      </c>
      <c r="H86" s="341">
        <v>7</v>
      </c>
      <c r="I86" s="341">
        <v>42</v>
      </c>
      <c r="J86" s="341">
        <v>18</v>
      </c>
      <c r="K86" s="342">
        <v>0</v>
      </c>
      <c r="L86" s="341">
        <v>0</v>
      </c>
      <c r="M86" s="341">
        <v>107.6</v>
      </c>
      <c r="N86" s="341">
        <v>94</v>
      </c>
      <c r="O86" s="341">
        <v>0</v>
      </c>
      <c r="P86" s="341">
        <v>0</v>
      </c>
      <c r="Q86" s="343">
        <f t="shared" si="18"/>
        <v>268.6</v>
      </c>
      <c r="AA86" s="318"/>
      <c r="AB86" s="318"/>
      <c r="AC86" s="318"/>
      <c r="AD86" s="318"/>
      <c r="AE86" s="318"/>
      <c r="AF86" s="318"/>
      <c r="AG86" s="318"/>
      <c r="AH86" s="318"/>
      <c r="AI86" s="318"/>
      <c r="AJ86" s="318"/>
      <c r="AK86" s="318"/>
      <c r="AL86" s="318"/>
      <c r="AM86" s="318"/>
      <c r="AN86" s="318"/>
      <c r="AO86" s="318"/>
      <c r="AP86" s="318"/>
    </row>
    <row r="87" spans="2:42" ht="15">
      <c r="B87" s="269"/>
      <c r="C87" s="340" t="s">
        <v>351</v>
      </c>
      <c r="D87" s="503">
        <v>1700</v>
      </c>
      <c r="E87" s="502">
        <v>38492</v>
      </c>
      <c r="F87" s="341"/>
      <c r="G87" s="341">
        <v>1</v>
      </c>
      <c r="H87" s="341">
        <v>4</v>
      </c>
      <c r="I87" s="341">
        <v>28</v>
      </c>
      <c r="J87" s="341">
        <v>12</v>
      </c>
      <c r="K87" s="342">
        <v>0</v>
      </c>
      <c r="L87" s="341">
        <v>0</v>
      </c>
      <c r="M87" s="341">
        <v>166.5</v>
      </c>
      <c r="N87" s="341">
        <v>105</v>
      </c>
      <c r="O87" s="341">
        <v>0</v>
      </c>
      <c r="P87" s="341">
        <v>0</v>
      </c>
      <c r="Q87" s="343">
        <f t="shared" si="18"/>
        <v>316.5</v>
      </c>
      <c r="AA87" s="318"/>
      <c r="AB87" s="318"/>
      <c r="AC87" s="318"/>
      <c r="AD87" s="318"/>
      <c r="AE87" s="318"/>
      <c r="AF87" s="318"/>
      <c r="AG87" s="318"/>
      <c r="AH87" s="318"/>
      <c r="AI87" s="318"/>
      <c r="AJ87" s="318"/>
      <c r="AK87" s="318"/>
      <c r="AL87" s="318"/>
      <c r="AM87" s="318"/>
      <c r="AN87" s="318"/>
      <c r="AO87" s="318"/>
      <c r="AP87" s="318"/>
    </row>
    <row r="88" spans="2:42" ht="15">
      <c r="B88" s="269"/>
      <c r="C88" s="340" t="s">
        <v>707</v>
      </c>
      <c r="D88" s="503">
        <v>1700</v>
      </c>
      <c r="E88" s="502">
        <v>38532</v>
      </c>
      <c r="F88" s="341"/>
      <c r="G88" s="341">
        <v>1</v>
      </c>
      <c r="H88" s="341">
        <v>7</v>
      </c>
      <c r="I88" s="341">
        <v>42</v>
      </c>
      <c r="J88" s="341">
        <v>8</v>
      </c>
      <c r="K88" s="342">
        <v>0</v>
      </c>
      <c r="L88" s="341">
        <v>0</v>
      </c>
      <c r="M88" s="341">
        <v>0</v>
      </c>
      <c r="N88" s="341">
        <v>121</v>
      </c>
      <c r="O88" s="341">
        <v>0</v>
      </c>
      <c r="P88" s="341">
        <v>0</v>
      </c>
      <c r="Q88" s="343">
        <f t="shared" si="18"/>
        <v>179</v>
      </c>
      <c r="AA88" s="318"/>
      <c r="AB88" s="318"/>
      <c r="AC88" s="318"/>
      <c r="AD88" s="318"/>
      <c r="AE88" s="318"/>
      <c r="AF88" s="318"/>
      <c r="AG88" s="318"/>
      <c r="AH88" s="318"/>
      <c r="AI88" s="318"/>
      <c r="AJ88" s="318"/>
      <c r="AK88" s="318"/>
      <c r="AL88" s="318"/>
      <c r="AM88" s="318"/>
      <c r="AN88" s="318"/>
      <c r="AO88" s="318"/>
      <c r="AP88" s="318"/>
    </row>
    <row r="89" spans="2:42" ht="15">
      <c r="B89" s="269"/>
      <c r="C89" s="340" t="s">
        <v>708</v>
      </c>
      <c r="D89" s="503">
        <v>1700</v>
      </c>
      <c r="E89" s="502">
        <v>38558</v>
      </c>
      <c r="F89" s="341"/>
      <c r="G89" s="341">
        <v>2</v>
      </c>
      <c r="H89" s="341">
        <v>7</v>
      </c>
      <c r="I89" s="341">
        <v>42</v>
      </c>
      <c r="J89" s="341">
        <v>18</v>
      </c>
      <c r="K89" s="342">
        <v>1</v>
      </c>
      <c r="L89" s="341">
        <v>1</v>
      </c>
      <c r="M89" s="341">
        <v>0</v>
      </c>
      <c r="N89" s="341">
        <v>120</v>
      </c>
      <c r="O89" s="341">
        <v>0</v>
      </c>
      <c r="P89" s="341">
        <v>0</v>
      </c>
      <c r="Q89" s="343">
        <f t="shared" si="18"/>
        <v>191</v>
      </c>
      <c r="AA89" s="318"/>
      <c r="AB89" s="318"/>
      <c r="AC89" s="318"/>
      <c r="AD89" s="318"/>
      <c r="AE89" s="318"/>
      <c r="AF89" s="318"/>
      <c r="AG89" s="318"/>
      <c r="AH89" s="318"/>
      <c r="AI89" s="318"/>
      <c r="AJ89" s="318"/>
      <c r="AK89" s="318"/>
      <c r="AL89" s="318"/>
      <c r="AM89" s="318"/>
      <c r="AN89" s="318"/>
      <c r="AO89" s="318"/>
      <c r="AP89" s="318"/>
    </row>
    <row r="90" spans="2:42" ht="15">
      <c r="B90" s="269"/>
      <c r="C90" s="340" t="s">
        <v>709</v>
      </c>
      <c r="D90" s="503">
        <v>1700</v>
      </c>
      <c r="E90" s="502">
        <v>38582</v>
      </c>
      <c r="F90" s="341"/>
      <c r="G90" s="341">
        <v>1</v>
      </c>
      <c r="H90" s="341">
        <v>7</v>
      </c>
      <c r="I90" s="341">
        <v>42</v>
      </c>
      <c r="J90" s="341">
        <v>18</v>
      </c>
      <c r="K90" s="342">
        <v>1</v>
      </c>
      <c r="L90" s="341">
        <v>0</v>
      </c>
      <c r="M90" s="341">
        <v>0</v>
      </c>
      <c r="N90" s="341">
        <v>118</v>
      </c>
      <c r="O90" s="341">
        <v>0</v>
      </c>
      <c r="P90" s="341">
        <v>0</v>
      </c>
      <c r="Q90" s="343">
        <f t="shared" si="18"/>
        <v>187</v>
      </c>
      <c r="AA90" s="318"/>
      <c r="AB90" s="318"/>
      <c r="AC90" s="318"/>
      <c r="AD90" s="318"/>
      <c r="AE90" s="318"/>
      <c r="AF90" s="318"/>
      <c r="AG90" s="318"/>
      <c r="AH90" s="318"/>
      <c r="AI90" s="318"/>
      <c r="AJ90" s="318"/>
      <c r="AK90" s="318"/>
      <c r="AL90" s="318"/>
      <c r="AM90" s="318"/>
      <c r="AN90" s="318"/>
      <c r="AO90" s="318"/>
      <c r="AP90" s="318"/>
    </row>
    <row r="91" spans="2:42" ht="15">
      <c r="B91" s="269"/>
      <c r="C91" s="340" t="s">
        <v>710</v>
      </c>
      <c r="D91" s="503">
        <v>1700</v>
      </c>
      <c r="E91" s="502">
        <v>38616</v>
      </c>
      <c r="F91" s="341"/>
      <c r="G91" s="341">
        <v>1</v>
      </c>
      <c r="H91" s="341">
        <v>7</v>
      </c>
      <c r="I91" s="341">
        <v>42</v>
      </c>
      <c r="J91" s="341">
        <v>18</v>
      </c>
      <c r="K91" s="342">
        <v>0</v>
      </c>
      <c r="L91" s="341">
        <v>1</v>
      </c>
      <c r="M91" s="341">
        <v>0</v>
      </c>
      <c r="N91" s="341">
        <v>119</v>
      </c>
      <c r="O91" s="341">
        <v>0</v>
      </c>
      <c r="P91" s="341">
        <v>0</v>
      </c>
      <c r="Q91" s="343">
        <f t="shared" si="18"/>
        <v>188</v>
      </c>
      <c r="AA91" s="318"/>
      <c r="AB91" s="318"/>
      <c r="AC91" s="318"/>
      <c r="AD91" s="318"/>
      <c r="AE91" s="318"/>
      <c r="AF91" s="318"/>
      <c r="AG91" s="318"/>
      <c r="AH91" s="318"/>
      <c r="AI91" s="318"/>
      <c r="AJ91" s="318"/>
      <c r="AK91" s="318"/>
      <c r="AL91" s="318"/>
      <c r="AM91" s="318"/>
      <c r="AN91" s="318"/>
      <c r="AO91" s="318"/>
      <c r="AP91" s="318"/>
    </row>
    <row r="92" spans="2:42" ht="15">
      <c r="B92" s="269"/>
      <c r="C92" s="340" t="s">
        <v>711</v>
      </c>
      <c r="D92" s="503">
        <v>1700</v>
      </c>
      <c r="E92" s="502">
        <v>38629</v>
      </c>
      <c r="F92" s="341"/>
      <c r="G92" s="341">
        <v>1</v>
      </c>
      <c r="H92" s="341">
        <v>6</v>
      </c>
      <c r="I92" s="341">
        <v>42</v>
      </c>
      <c r="J92" s="341">
        <v>18</v>
      </c>
      <c r="K92" s="342">
        <v>0</v>
      </c>
      <c r="L92" s="341">
        <v>0</v>
      </c>
      <c r="M92" s="341">
        <v>0</v>
      </c>
      <c r="N92" s="341">
        <v>105</v>
      </c>
      <c r="O92" s="341">
        <v>0</v>
      </c>
      <c r="P92" s="341">
        <v>0</v>
      </c>
      <c r="Q92" s="343">
        <f t="shared" si="18"/>
        <v>172</v>
      </c>
      <c r="AA92" s="318"/>
      <c r="AB92" s="318"/>
      <c r="AC92" s="318"/>
      <c r="AD92" s="318"/>
      <c r="AE92" s="318"/>
      <c r="AF92" s="318"/>
      <c r="AG92" s="318"/>
      <c r="AH92" s="318"/>
      <c r="AI92" s="318"/>
      <c r="AJ92" s="318"/>
      <c r="AK92" s="318"/>
      <c r="AL92" s="318"/>
      <c r="AM92" s="318"/>
      <c r="AN92" s="318"/>
      <c r="AO92" s="318"/>
      <c r="AP92" s="318"/>
    </row>
    <row r="93" spans="2:42" ht="15">
      <c r="B93" s="269"/>
      <c r="C93" s="340" t="s">
        <v>712</v>
      </c>
      <c r="D93" s="503">
        <v>1900</v>
      </c>
      <c r="E93" s="502">
        <v>38684</v>
      </c>
      <c r="F93" s="341"/>
      <c r="G93" s="341">
        <v>1</v>
      </c>
      <c r="H93" s="341">
        <v>7</v>
      </c>
      <c r="I93" s="341">
        <v>40</v>
      </c>
      <c r="J93" s="341">
        <v>18</v>
      </c>
      <c r="K93" s="342">
        <v>1</v>
      </c>
      <c r="L93" s="341">
        <v>0</v>
      </c>
      <c r="M93" s="341">
        <v>0</v>
      </c>
      <c r="N93" s="341">
        <v>103</v>
      </c>
      <c r="O93" s="341">
        <v>0</v>
      </c>
      <c r="P93" s="341">
        <v>0</v>
      </c>
      <c r="Q93" s="343">
        <f t="shared" si="18"/>
        <v>170</v>
      </c>
      <c r="AA93" s="318"/>
      <c r="AB93" s="318"/>
      <c r="AC93" s="318"/>
      <c r="AD93" s="318"/>
      <c r="AE93" s="318"/>
      <c r="AF93" s="318"/>
      <c r="AG93" s="318"/>
      <c r="AH93" s="318"/>
      <c r="AI93" s="318"/>
      <c r="AJ93" s="318"/>
      <c r="AK93" s="318"/>
      <c r="AL93" s="318"/>
      <c r="AM93" s="318"/>
      <c r="AN93" s="318"/>
      <c r="AO93" s="318"/>
      <c r="AP93" s="318"/>
    </row>
    <row r="94" spans="2:42" ht="15">
      <c r="B94" s="269"/>
      <c r="C94" s="340" t="s">
        <v>713</v>
      </c>
      <c r="D94" s="503">
        <v>1900</v>
      </c>
      <c r="E94" s="502">
        <v>38693</v>
      </c>
      <c r="F94" s="341"/>
      <c r="G94" s="341">
        <v>0</v>
      </c>
      <c r="H94" s="341">
        <v>7</v>
      </c>
      <c r="I94" s="341">
        <v>28</v>
      </c>
      <c r="J94" s="341">
        <v>12</v>
      </c>
      <c r="K94" s="342">
        <v>1</v>
      </c>
      <c r="L94" s="341">
        <v>1</v>
      </c>
      <c r="M94" s="341">
        <v>0</v>
      </c>
      <c r="N94" s="341">
        <v>110</v>
      </c>
      <c r="O94" s="341">
        <v>0</v>
      </c>
      <c r="P94" s="341">
        <v>0</v>
      </c>
      <c r="Q94" s="343">
        <f t="shared" si="18"/>
        <v>159</v>
      </c>
      <c r="AA94" s="318"/>
      <c r="AB94" s="318"/>
      <c r="AC94" s="318"/>
      <c r="AD94" s="318"/>
      <c r="AE94" s="318"/>
      <c r="AF94" s="318"/>
      <c r="AG94" s="318"/>
      <c r="AH94" s="318"/>
      <c r="AI94" s="318"/>
      <c r="AJ94" s="318"/>
      <c r="AK94" s="318"/>
      <c r="AL94" s="318"/>
      <c r="AM94" s="318"/>
      <c r="AN94" s="318"/>
      <c r="AO94" s="318"/>
      <c r="AP94" s="318"/>
    </row>
    <row r="95" spans="1:42" ht="21">
      <c r="A95" s="364" t="str">
        <f>A1</f>
        <v>Worksheet B-WE Divisor</v>
      </c>
      <c r="B95" s="17"/>
      <c r="C95" s="368"/>
      <c r="D95" s="345"/>
      <c r="E95" s="346"/>
      <c r="F95" s="347"/>
      <c r="G95" s="347"/>
      <c r="H95" s="347"/>
      <c r="I95" s="347"/>
      <c r="J95" s="347"/>
      <c r="K95" s="347"/>
      <c r="L95" s="347"/>
      <c r="M95" s="347"/>
      <c r="N95" s="347"/>
      <c r="O95" s="347"/>
      <c r="P95" s="347"/>
      <c r="Q95" s="372" t="s">
        <v>347</v>
      </c>
      <c r="AA95" s="318"/>
      <c r="AB95" s="318"/>
      <c r="AC95" s="318"/>
      <c r="AD95" s="318"/>
      <c r="AE95" s="318"/>
      <c r="AF95" s="318"/>
      <c r="AG95" s="318"/>
      <c r="AH95" s="318"/>
      <c r="AI95" s="318"/>
      <c r="AJ95" s="318"/>
      <c r="AK95" s="318"/>
      <c r="AL95" s="318"/>
      <c r="AM95" s="318"/>
      <c r="AN95" s="318"/>
      <c r="AO95" s="318"/>
      <c r="AP95" s="318"/>
    </row>
    <row r="96" spans="2:42" ht="15">
      <c r="B96" s="17"/>
      <c r="C96" s="368"/>
      <c r="D96" s="345"/>
      <c r="E96" s="346"/>
      <c r="F96" s="347"/>
      <c r="G96" s="347"/>
      <c r="H96" s="347"/>
      <c r="I96" s="347"/>
      <c r="J96" s="347"/>
      <c r="K96" s="347"/>
      <c r="L96" s="347"/>
      <c r="M96" s="347"/>
      <c r="N96" s="347"/>
      <c r="O96" s="347"/>
      <c r="P96" s="347"/>
      <c r="Q96" s="347"/>
      <c r="AA96" s="318"/>
      <c r="AB96" s="318"/>
      <c r="AC96" s="318"/>
      <c r="AD96" s="318"/>
      <c r="AE96" s="318"/>
      <c r="AF96" s="318"/>
      <c r="AG96" s="318"/>
      <c r="AH96" s="318"/>
      <c r="AI96" s="318"/>
      <c r="AJ96" s="318"/>
      <c r="AK96" s="318"/>
      <c r="AL96" s="318"/>
      <c r="AM96" s="318"/>
      <c r="AN96" s="318"/>
      <c r="AO96" s="318"/>
      <c r="AP96" s="318"/>
    </row>
    <row r="97" spans="2:42" ht="17.25">
      <c r="B97" s="521" t="str">
        <f>B67</f>
        <v>Westar Energy, Inc.</v>
      </c>
      <c r="C97" s="522"/>
      <c r="D97" s="522"/>
      <c r="E97" s="522"/>
      <c r="F97" s="522"/>
      <c r="G97" s="522"/>
      <c r="H97" s="522"/>
      <c r="I97" s="522"/>
      <c r="J97" s="522"/>
      <c r="K97" s="522"/>
      <c r="L97" s="522"/>
      <c r="M97" s="522"/>
      <c r="N97" s="522"/>
      <c r="O97" s="522"/>
      <c r="P97" s="522"/>
      <c r="Q97" s="522"/>
      <c r="AA97" s="318"/>
      <c r="AB97" s="318"/>
      <c r="AC97" s="318"/>
      <c r="AD97" s="318"/>
      <c r="AE97" s="318"/>
      <c r="AF97" s="318"/>
      <c r="AG97" s="318"/>
      <c r="AH97" s="318"/>
      <c r="AI97" s="318"/>
      <c r="AJ97" s="318"/>
      <c r="AK97" s="318"/>
      <c r="AL97" s="318"/>
      <c r="AM97" s="318"/>
      <c r="AN97" s="318"/>
      <c r="AO97" s="318"/>
      <c r="AP97" s="318"/>
    </row>
    <row r="98" spans="2:42" ht="17.25">
      <c r="B98" s="521" t="str">
        <f>B68</f>
        <v>Notes to the Determination of WEN's and WES' Contribution to Transmission Network Load (MW, unless otherwise noted)</v>
      </c>
      <c r="C98" s="522"/>
      <c r="D98" s="522"/>
      <c r="E98" s="522"/>
      <c r="F98" s="522"/>
      <c r="G98" s="522"/>
      <c r="H98" s="522"/>
      <c r="I98" s="522"/>
      <c r="J98" s="522"/>
      <c r="K98" s="522"/>
      <c r="L98" s="522"/>
      <c r="M98" s="522"/>
      <c r="N98" s="522"/>
      <c r="O98" s="522"/>
      <c r="P98" s="522"/>
      <c r="Q98" s="522"/>
      <c r="AA98" s="318"/>
      <c r="AB98" s="318"/>
      <c r="AC98" s="318"/>
      <c r="AD98" s="318"/>
      <c r="AE98" s="318"/>
      <c r="AF98" s="318"/>
      <c r="AG98" s="318"/>
      <c r="AH98" s="318"/>
      <c r="AI98" s="318"/>
      <c r="AJ98" s="318"/>
      <c r="AK98" s="318"/>
      <c r="AL98" s="318"/>
      <c r="AM98" s="318"/>
      <c r="AN98" s="318"/>
      <c r="AO98" s="318"/>
      <c r="AP98" s="318"/>
    </row>
    <row r="99" spans="2:42" ht="17.25">
      <c r="B99" s="433"/>
      <c r="C99" s="423"/>
      <c r="D99" s="434"/>
      <c r="E99" s="434"/>
      <c r="F99" s="435"/>
      <c r="G99" s="435"/>
      <c r="H99" s="435"/>
      <c r="I99" s="436" t="str">
        <f>I69</f>
        <v>Year Ending:</v>
      </c>
      <c r="J99" s="435"/>
      <c r="K99" s="437">
        <f>K69</f>
        <v>2005</v>
      </c>
      <c r="L99" s="435"/>
      <c r="M99" s="435"/>
      <c r="N99" s="435"/>
      <c r="O99" s="435"/>
      <c r="P99" s="435"/>
      <c r="Q99" s="435"/>
      <c r="AA99" s="318"/>
      <c r="AB99" s="318"/>
      <c r="AC99" s="318"/>
      <c r="AD99" s="318"/>
      <c r="AE99" s="318"/>
      <c r="AF99" s="318"/>
      <c r="AG99" s="318"/>
      <c r="AH99" s="318"/>
      <c r="AI99" s="318"/>
      <c r="AJ99" s="318"/>
      <c r="AK99" s="318"/>
      <c r="AL99" s="318"/>
      <c r="AM99" s="318"/>
      <c r="AN99" s="318"/>
      <c r="AO99" s="318"/>
      <c r="AP99" s="318"/>
    </row>
    <row r="100" spans="2:42" ht="15">
      <c r="B100" s="514" t="str">
        <f>B70</f>
        <v>(all load data in these notes comes from Westar's "NETWORK BILLING DETERMINANTS" spreadsheet or successor spreadsheet)</v>
      </c>
      <c r="C100" s="523"/>
      <c r="D100" s="523"/>
      <c r="E100" s="523"/>
      <c r="F100" s="523"/>
      <c r="G100" s="523"/>
      <c r="H100" s="523"/>
      <c r="I100" s="523"/>
      <c r="J100" s="523"/>
      <c r="K100" s="523"/>
      <c r="L100" s="523"/>
      <c r="M100" s="523"/>
      <c r="N100" s="523"/>
      <c r="O100" s="523"/>
      <c r="P100" s="523"/>
      <c r="Q100" s="523"/>
      <c r="AA100" s="318"/>
      <c r="AB100" s="318"/>
      <c r="AC100" s="318"/>
      <c r="AD100" s="318"/>
      <c r="AE100" s="318"/>
      <c r="AF100" s="318"/>
      <c r="AG100" s="318"/>
      <c r="AH100" s="318"/>
      <c r="AI100" s="318"/>
      <c r="AJ100" s="318"/>
      <c r="AK100" s="318"/>
      <c r="AL100" s="318"/>
      <c r="AM100" s="318"/>
      <c r="AN100" s="318"/>
      <c r="AO100" s="318"/>
      <c r="AP100" s="318"/>
    </row>
    <row r="101" spans="2:42" ht="17.25">
      <c r="B101" s="433"/>
      <c r="C101" s="422"/>
      <c r="D101" s="422"/>
      <c r="E101" s="422"/>
      <c r="F101" s="422"/>
      <c r="G101" s="422"/>
      <c r="H101" s="422"/>
      <c r="I101" s="422"/>
      <c r="J101" s="422"/>
      <c r="K101" s="422"/>
      <c r="L101" s="422"/>
      <c r="M101" s="422"/>
      <c r="N101" s="422"/>
      <c r="O101" s="422"/>
      <c r="P101" s="422"/>
      <c r="Q101" s="422"/>
      <c r="AA101" s="318"/>
      <c r="AB101" s="318"/>
      <c r="AC101" s="318"/>
      <c r="AD101" s="318"/>
      <c r="AE101" s="318"/>
      <c r="AF101" s="318"/>
      <c r="AG101" s="318"/>
      <c r="AH101" s="318"/>
      <c r="AI101" s="318"/>
      <c r="AJ101" s="318"/>
      <c r="AK101" s="318"/>
      <c r="AL101" s="318"/>
      <c r="AM101" s="318"/>
      <c r="AN101" s="318"/>
      <c r="AO101" s="318"/>
      <c r="AP101" s="318"/>
    </row>
    <row r="102" spans="2:42" ht="15">
      <c r="B102" s="17">
        <v>5</v>
      </c>
      <c r="C102" s="368" t="s">
        <v>41</v>
      </c>
      <c r="D102" s="345"/>
      <c r="E102" s="346"/>
      <c r="F102" s="347"/>
      <c r="G102" s="347"/>
      <c r="H102" s="347"/>
      <c r="I102" s="347"/>
      <c r="J102" s="347"/>
      <c r="K102" s="347"/>
      <c r="L102" s="347"/>
      <c r="M102" s="347"/>
      <c r="N102" s="347"/>
      <c r="O102" s="347"/>
      <c r="P102" s="347"/>
      <c r="Q102" s="347"/>
      <c r="AA102" s="318"/>
      <c r="AB102" s="318"/>
      <c r="AC102" s="318"/>
      <c r="AD102" s="318"/>
      <c r="AE102" s="318"/>
      <c r="AF102" s="318"/>
      <c r="AG102" s="318"/>
      <c r="AH102" s="318"/>
      <c r="AI102" s="318"/>
      <c r="AJ102" s="318"/>
      <c r="AK102" s="318"/>
      <c r="AL102" s="318"/>
      <c r="AM102" s="318"/>
      <c r="AN102" s="318"/>
      <c r="AO102" s="318"/>
      <c r="AP102" s="318"/>
    </row>
    <row r="103" spans="2:42" ht="15">
      <c r="B103" s="17"/>
      <c r="C103" s="368"/>
      <c r="D103" s="345"/>
      <c r="E103" s="346"/>
      <c r="F103" s="347"/>
      <c r="G103" s="347"/>
      <c r="H103" s="347"/>
      <c r="I103" s="347"/>
      <c r="J103" s="347"/>
      <c r="K103" s="347"/>
      <c r="L103" s="347"/>
      <c r="M103" s="347"/>
      <c r="N103" s="347"/>
      <c r="O103" s="347"/>
      <c r="P103" s="347"/>
      <c r="Q103" s="331" t="s">
        <v>682</v>
      </c>
      <c r="AA103" s="318"/>
      <c r="AB103" s="318"/>
      <c r="AC103" s="318"/>
      <c r="AD103" s="318"/>
      <c r="AE103" s="318"/>
      <c r="AF103" s="318"/>
      <c r="AG103" s="318"/>
      <c r="AH103" s="318"/>
      <c r="AI103" s="318"/>
      <c r="AJ103" s="318"/>
      <c r="AK103" s="318"/>
      <c r="AL103" s="318"/>
      <c r="AM103" s="318"/>
      <c r="AN103" s="318"/>
      <c r="AO103" s="318"/>
      <c r="AP103" s="318"/>
    </row>
    <row r="104" spans="2:42" ht="15">
      <c r="B104" s="17"/>
      <c r="C104" s="137"/>
      <c r="D104" s="137"/>
      <c r="E104" s="137"/>
      <c r="F104" s="332" t="s">
        <v>683</v>
      </c>
      <c r="G104" s="332" t="s">
        <v>684</v>
      </c>
      <c r="H104" s="332" t="s">
        <v>685</v>
      </c>
      <c r="I104" s="332" t="s">
        <v>686</v>
      </c>
      <c r="J104" s="332" t="s">
        <v>287</v>
      </c>
      <c r="K104" s="333" t="s">
        <v>687</v>
      </c>
      <c r="L104" s="333" t="s">
        <v>688</v>
      </c>
      <c r="M104" s="332" t="s">
        <v>689</v>
      </c>
      <c r="N104" s="334"/>
      <c r="O104" s="335" t="s">
        <v>690</v>
      </c>
      <c r="P104" s="336"/>
      <c r="Q104" s="335" t="s">
        <v>46</v>
      </c>
      <c r="AA104" s="318"/>
      <c r="AB104" s="318"/>
      <c r="AC104" s="318"/>
      <c r="AD104" s="318"/>
      <c r="AE104" s="318"/>
      <c r="AF104" s="318"/>
      <c r="AG104" s="318"/>
      <c r="AH104" s="318"/>
      <c r="AI104" s="318"/>
      <c r="AJ104" s="318"/>
      <c r="AK104" s="318"/>
      <c r="AL104" s="318"/>
      <c r="AM104" s="318"/>
      <c r="AN104" s="318"/>
      <c r="AO104" s="318"/>
      <c r="AP104" s="318"/>
    </row>
    <row r="105" spans="2:42" ht="15">
      <c r="B105" s="17"/>
      <c r="C105" s="337"/>
      <c r="D105" s="137"/>
      <c r="E105" s="337"/>
      <c r="F105" s="338" t="s">
        <v>692</v>
      </c>
      <c r="G105" s="339" t="s">
        <v>693</v>
      </c>
      <c r="H105" s="339" t="s">
        <v>694</v>
      </c>
      <c r="I105" s="339" t="s">
        <v>695</v>
      </c>
      <c r="J105" s="339" t="s">
        <v>696</v>
      </c>
      <c r="K105" s="339" t="s">
        <v>697</v>
      </c>
      <c r="L105" s="338" t="s">
        <v>697</v>
      </c>
      <c r="M105" s="339" t="s">
        <v>698</v>
      </c>
      <c r="N105" s="339" t="s">
        <v>699</v>
      </c>
      <c r="O105" s="339" t="s">
        <v>700</v>
      </c>
      <c r="P105" s="338" t="s">
        <v>701</v>
      </c>
      <c r="Q105" s="338" t="s">
        <v>47</v>
      </c>
      <c r="AA105" s="318"/>
      <c r="AB105" s="318"/>
      <c r="AC105" s="318"/>
      <c r="AD105" s="318"/>
      <c r="AE105" s="318"/>
      <c r="AF105" s="318"/>
      <c r="AG105" s="318"/>
      <c r="AH105" s="318"/>
      <c r="AI105" s="318"/>
      <c r="AJ105" s="318"/>
      <c r="AK105" s="318"/>
      <c r="AL105" s="318"/>
      <c r="AM105" s="318"/>
      <c r="AN105" s="318"/>
      <c r="AO105" s="318"/>
      <c r="AP105" s="318"/>
    </row>
    <row r="106" spans="2:42" ht="15">
      <c r="B106" s="17"/>
      <c r="C106" s="340" t="s">
        <v>703</v>
      </c>
      <c r="D106" s="503">
        <v>1000</v>
      </c>
      <c r="E106" s="502">
        <v>38366</v>
      </c>
      <c r="F106" s="341"/>
      <c r="G106" s="341">
        <v>1.6</v>
      </c>
      <c r="H106" s="341">
        <v>7</v>
      </c>
      <c r="I106" s="341">
        <v>42.4</v>
      </c>
      <c r="J106" s="341">
        <v>18.4</v>
      </c>
      <c r="K106" s="430">
        <v>1</v>
      </c>
      <c r="L106" s="341">
        <v>1</v>
      </c>
      <c r="M106" s="341">
        <v>303</v>
      </c>
      <c r="N106" s="341">
        <v>131</v>
      </c>
      <c r="O106" s="341">
        <f>60.5+125</f>
        <v>185.5</v>
      </c>
      <c r="P106" s="341">
        <v>0</v>
      </c>
      <c r="Q106" s="343">
        <f>ROUND(SUM(F106:P106),1)</f>
        <v>690.9</v>
      </c>
      <c r="AA106" s="318"/>
      <c r="AB106" s="318"/>
      <c r="AC106" s="318"/>
      <c r="AD106" s="318"/>
      <c r="AE106" s="318"/>
      <c r="AF106" s="318"/>
      <c r="AG106" s="318"/>
      <c r="AH106" s="318"/>
      <c r="AI106" s="318"/>
      <c r="AJ106" s="318"/>
      <c r="AK106" s="318"/>
      <c r="AL106" s="318"/>
      <c r="AM106" s="318"/>
      <c r="AN106" s="318"/>
      <c r="AO106" s="318"/>
      <c r="AP106" s="318"/>
    </row>
    <row r="107" spans="2:42" ht="15">
      <c r="B107" s="17"/>
      <c r="C107" s="340" t="s">
        <v>704</v>
      </c>
      <c r="D107" s="503">
        <v>1900</v>
      </c>
      <c r="E107" s="502">
        <v>38391</v>
      </c>
      <c r="F107" s="341"/>
      <c r="G107" s="341">
        <v>1.6</v>
      </c>
      <c r="H107" s="341">
        <v>7</v>
      </c>
      <c r="I107" s="341">
        <v>42.4</v>
      </c>
      <c r="J107" s="341">
        <v>18.4</v>
      </c>
      <c r="K107" s="430">
        <v>1</v>
      </c>
      <c r="L107" s="341">
        <v>1</v>
      </c>
      <c r="M107" s="341">
        <v>303</v>
      </c>
      <c r="N107" s="341">
        <v>131</v>
      </c>
      <c r="O107" s="341">
        <f aca="true" t="shared" si="19" ref="O107:O117">60.5+125</f>
        <v>185.5</v>
      </c>
      <c r="P107" s="341">
        <v>0</v>
      </c>
      <c r="Q107" s="343">
        <f aca="true" t="shared" si="20" ref="Q107:Q117">ROUND(SUM(F107:P107),1)</f>
        <v>690.9</v>
      </c>
      <c r="AA107" s="318"/>
      <c r="AB107" s="318"/>
      <c r="AC107" s="318"/>
      <c r="AD107" s="318"/>
      <c r="AE107" s="318"/>
      <c r="AF107" s="318"/>
      <c r="AG107" s="318"/>
      <c r="AH107" s="318"/>
      <c r="AI107" s="318"/>
      <c r="AJ107" s="318"/>
      <c r="AK107" s="318"/>
      <c r="AL107" s="318"/>
      <c r="AM107" s="318"/>
      <c r="AN107" s="318"/>
      <c r="AO107" s="318"/>
      <c r="AP107" s="318"/>
    </row>
    <row r="108" spans="2:42" ht="15">
      <c r="B108" s="17"/>
      <c r="C108" s="340" t="s">
        <v>705</v>
      </c>
      <c r="D108" s="503">
        <v>2000</v>
      </c>
      <c r="E108" s="502">
        <v>38433</v>
      </c>
      <c r="F108" s="341"/>
      <c r="G108" s="341">
        <v>1.6</v>
      </c>
      <c r="H108" s="341">
        <v>7</v>
      </c>
      <c r="I108" s="341">
        <v>42.4</v>
      </c>
      <c r="J108" s="341">
        <v>18.4</v>
      </c>
      <c r="K108" s="430">
        <v>1</v>
      </c>
      <c r="L108" s="341">
        <v>1</v>
      </c>
      <c r="M108" s="341">
        <v>303</v>
      </c>
      <c r="N108" s="341">
        <v>131</v>
      </c>
      <c r="O108" s="341">
        <f t="shared" si="19"/>
        <v>185.5</v>
      </c>
      <c r="P108" s="341">
        <v>0</v>
      </c>
      <c r="Q108" s="343">
        <f t="shared" si="20"/>
        <v>690.9</v>
      </c>
      <c r="AA108" s="318"/>
      <c r="AB108" s="318"/>
      <c r="AC108" s="318"/>
      <c r="AD108" s="318"/>
      <c r="AE108" s="318"/>
      <c r="AF108" s="318"/>
      <c r="AG108" s="318"/>
      <c r="AH108" s="318"/>
      <c r="AI108" s="318"/>
      <c r="AJ108" s="318"/>
      <c r="AK108" s="318"/>
      <c r="AL108" s="318"/>
      <c r="AM108" s="318"/>
      <c r="AN108" s="318"/>
      <c r="AO108" s="318"/>
      <c r="AP108" s="318"/>
    </row>
    <row r="109" spans="2:42" ht="15">
      <c r="B109" s="17"/>
      <c r="C109" s="340" t="s">
        <v>706</v>
      </c>
      <c r="D109" s="503">
        <v>1700</v>
      </c>
      <c r="E109" s="502">
        <v>38462</v>
      </c>
      <c r="F109" s="341"/>
      <c r="G109" s="341">
        <v>1.6</v>
      </c>
      <c r="H109" s="341">
        <v>7</v>
      </c>
      <c r="I109" s="341">
        <v>42.4</v>
      </c>
      <c r="J109" s="341">
        <v>18.4</v>
      </c>
      <c r="K109" s="430">
        <v>1</v>
      </c>
      <c r="L109" s="341">
        <v>1</v>
      </c>
      <c r="M109" s="341">
        <v>303</v>
      </c>
      <c r="N109" s="341">
        <v>131</v>
      </c>
      <c r="O109" s="341">
        <f t="shared" si="19"/>
        <v>185.5</v>
      </c>
      <c r="P109" s="341">
        <v>0</v>
      </c>
      <c r="Q109" s="343">
        <f t="shared" si="20"/>
        <v>690.9</v>
      </c>
      <c r="AA109" s="318"/>
      <c r="AB109" s="318"/>
      <c r="AC109" s="318"/>
      <c r="AD109" s="318"/>
      <c r="AE109" s="318"/>
      <c r="AF109" s="318"/>
      <c r="AG109" s="318"/>
      <c r="AH109" s="318"/>
      <c r="AI109" s="318"/>
      <c r="AJ109" s="318"/>
      <c r="AK109" s="318"/>
      <c r="AL109" s="318"/>
      <c r="AM109" s="318"/>
      <c r="AN109" s="318"/>
      <c r="AO109" s="318"/>
      <c r="AP109" s="318"/>
    </row>
    <row r="110" spans="2:42" ht="15">
      <c r="B110" s="17"/>
      <c r="C110" s="340" t="s">
        <v>351</v>
      </c>
      <c r="D110" s="503">
        <v>1700</v>
      </c>
      <c r="E110" s="502">
        <v>38492</v>
      </c>
      <c r="F110" s="341"/>
      <c r="G110" s="341">
        <v>1.6</v>
      </c>
      <c r="H110" s="341">
        <v>7</v>
      </c>
      <c r="I110" s="341">
        <v>42.4</v>
      </c>
      <c r="J110" s="341">
        <v>18.4</v>
      </c>
      <c r="K110" s="430">
        <v>1</v>
      </c>
      <c r="L110" s="341">
        <v>1</v>
      </c>
      <c r="M110" s="341">
        <v>303</v>
      </c>
      <c r="N110" s="341">
        <v>131</v>
      </c>
      <c r="O110" s="341">
        <f t="shared" si="19"/>
        <v>185.5</v>
      </c>
      <c r="P110" s="341">
        <v>0</v>
      </c>
      <c r="Q110" s="343">
        <f t="shared" si="20"/>
        <v>690.9</v>
      </c>
      <c r="AA110" s="318"/>
      <c r="AB110" s="318"/>
      <c r="AC110" s="318"/>
      <c r="AD110" s="318"/>
      <c r="AE110" s="318"/>
      <c r="AF110" s="318"/>
      <c r="AG110" s="318"/>
      <c r="AH110" s="318"/>
      <c r="AI110" s="318"/>
      <c r="AJ110" s="318"/>
      <c r="AK110" s="318"/>
      <c r="AL110" s="318"/>
      <c r="AM110" s="318"/>
      <c r="AN110" s="318"/>
      <c r="AO110" s="318"/>
      <c r="AP110" s="318"/>
    </row>
    <row r="111" spans="2:42" ht="15">
      <c r="B111" s="17"/>
      <c r="C111" s="340" t="s">
        <v>707</v>
      </c>
      <c r="D111" s="503">
        <v>1700</v>
      </c>
      <c r="E111" s="502">
        <v>38532</v>
      </c>
      <c r="F111" s="341"/>
      <c r="G111" s="341">
        <v>1.6</v>
      </c>
      <c r="H111" s="341">
        <v>7</v>
      </c>
      <c r="I111" s="341">
        <v>42.4</v>
      </c>
      <c r="J111" s="341">
        <v>18.4</v>
      </c>
      <c r="K111" s="430">
        <v>1</v>
      </c>
      <c r="L111" s="341">
        <v>1</v>
      </c>
      <c r="M111" s="341"/>
      <c r="N111" s="341">
        <v>131</v>
      </c>
      <c r="O111" s="341">
        <f t="shared" si="19"/>
        <v>185.5</v>
      </c>
      <c r="P111" s="341">
        <v>0</v>
      </c>
      <c r="Q111" s="343">
        <f t="shared" si="20"/>
        <v>387.9</v>
      </c>
      <c r="AA111" s="318"/>
      <c r="AB111" s="318"/>
      <c r="AC111" s="318"/>
      <c r="AD111" s="318"/>
      <c r="AE111" s="318"/>
      <c r="AF111" s="318"/>
      <c r="AG111" s="318"/>
      <c r="AH111" s="318"/>
      <c r="AI111" s="318"/>
      <c r="AJ111" s="318"/>
      <c r="AK111" s="318"/>
      <c r="AL111" s="318"/>
      <c r="AM111" s="318"/>
      <c r="AN111" s="318"/>
      <c r="AO111" s="318"/>
      <c r="AP111" s="318"/>
    </row>
    <row r="112" spans="2:42" ht="15">
      <c r="B112" s="17"/>
      <c r="C112" s="340" t="s">
        <v>708</v>
      </c>
      <c r="D112" s="503">
        <v>1700</v>
      </c>
      <c r="E112" s="502">
        <v>38558</v>
      </c>
      <c r="F112" s="341"/>
      <c r="G112" s="341">
        <v>1.6</v>
      </c>
      <c r="H112" s="341">
        <v>7</v>
      </c>
      <c r="I112" s="341">
        <v>42.4</v>
      </c>
      <c r="J112" s="341">
        <v>18.4</v>
      </c>
      <c r="K112" s="430">
        <v>1</v>
      </c>
      <c r="L112" s="341">
        <v>1</v>
      </c>
      <c r="M112" s="341"/>
      <c r="N112" s="341">
        <v>131</v>
      </c>
      <c r="O112" s="341">
        <f t="shared" si="19"/>
        <v>185.5</v>
      </c>
      <c r="P112" s="341">
        <v>0</v>
      </c>
      <c r="Q112" s="343">
        <f t="shared" si="20"/>
        <v>387.9</v>
      </c>
      <c r="AA112" s="318"/>
      <c r="AB112" s="318"/>
      <c r="AC112" s="318"/>
      <c r="AD112" s="318"/>
      <c r="AE112" s="318"/>
      <c r="AF112" s="318"/>
      <c r="AG112" s="318"/>
      <c r="AH112" s="318"/>
      <c r="AI112" s="318"/>
      <c r="AJ112" s="318"/>
      <c r="AK112" s="318"/>
      <c r="AL112" s="318"/>
      <c r="AM112" s="318"/>
      <c r="AN112" s="318"/>
      <c r="AO112" s="318"/>
      <c r="AP112" s="318"/>
    </row>
    <row r="113" spans="2:42" ht="15">
      <c r="B113" s="17"/>
      <c r="C113" s="340" t="s">
        <v>709</v>
      </c>
      <c r="D113" s="503">
        <v>1700</v>
      </c>
      <c r="E113" s="502">
        <v>38582</v>
      </c>
      <c r="F113" s="341"/>
      <c r="G113" s="341">
        <v>1.6</v>
      </c>
      <c r="H113" s="341">
        <v>7</v>
      </c>
      <c r="I113" s="341">
        <v>42.4</v>
      </c>
      <c r="J113" s="341">
        <v>18.4</v>
      </c>
      <c r="K113" s="430">
        <v>1</v>
      </c>
      <c r="L113" s="341">
        <v>1</v>
      </c>
      <c r="M113" s="341"/>
      <c r="N113" s="341">
        <v>131</v>
      </c>
      <c r="O113" s="341">
        <f t="shared" si="19"/>
        <v>185.5</v>
      </c>
      <c r="P113" s="341">
        <v>0</v>
      </c>
      <c r="Q113" s="343">
        <f t="shared" si="20"/>
        <v>387.9</v>
      </c>
      <c r="AA113" s="318"/>
      <c r="AB113" s="318"/>
      <c r="AC113" s="318"/>
      <c r="AD113" s="318"/>
      <c r="AE113" s="318"/>
      <c r="AF113" s="318"/>
      <c r="AG113" s="318"/>
      <c r="AH113" s="318"/>
      <c r="AI113" s="318"/>
      <c r="AJ113" s="318"/>
      <c r="AK113" s="318"/>
      <c r="AL113" s="318"/>
      <c r="AM113" s="318"/>
      <c r="AN113" s="318"/>
      <c r="AO113" s="318"/>
      <c r="AP113" s="318"/>
    </row>
    <row r="114" spans="2:42" ht="15">
      <c r="B114" s="17"/>
      <c r="C114" s="340" t="s">
        <v>710</v>
      </c>
      <c r="D114" s="503">
        <v>1700</v>
      </c>
      <c r="E114" s="502">
        <v>38616</v>
      </c>
      <c r="F114" s="341"/>
      <c r="G114" s="341">
        <v>1.6</v>
      </c>
      <c r="H114" s="341">
        <v>7</v>
      </c>
      <c r="I114" s="341">
        <v>42.4</v>
      </c>
      <c r="J114" s="341">
        <v>18.4</v>
      </c>
      <c r="K114" s="430">
        <v>1</v>
      </c>
      <c r="L114" s="341">
        <v>1</v>
      </c>
      <c r="M114" s="341"/>
      <c r="N114" s="341">
        <v>131</v>
      </c>
      <c r="O114" s="341">
        <f t="shared" si="19"/>
        <v>185.5</v>
      </c>
      <c r="P114" s="341">
        <v>0</v>
      </c>
      <c r="Q114" s="343">
        <f t="shared" si="20"/>
        <v>387.9</v>
      </c>
      <c r="AA114" s="318"/>
      <c r="AB114" s="318"/>
      <c r="AC114" s="318"/>
      <c r="AD114" s="318"/>
      <c r="AE114" s="318"/>
      <c r="AF114" s="318"/>
      <c r="AG114" s="318"/>
      <c r="AH114" s="318"/>
      <c r="AI114" s="318"/>
      <c r="AJ114" s="318"/>
      <c r="AK114" s="318"/>
      <c r="AL114" s="318"/>
      <c r="AM114" s="318"/>
      <c r="AN114" s="318"/>
      <c r="AO114" s="318"/>
      <c r="AP114" s="318"/>
    </row>
    <row r="115" spans="2:42" ht="15">
      <c r="B115" s="17"/>
      <c r="C115" s="340" t="s">
        <v>711</v>
      </c>
      <c r="D115" s="503">
        <v>1700</v>
      </c>
      <c r="E115" s="502">
        <v>38629</v>
      </c>
      <c r="F115" s="341"/>
      <c r="G115" s="341">
        <v>1.6</v>
      </c>
      <c r="H115" s="341">
        <v>7</v>
      </c>
      <c r="I115" s="341">
        <v>42.4</v>
      </c>
      <c r="J115" s="341">
        <v>18.4</v>
      </c>
      <c r="K115" s="430">
        <v>1</v>
      </c>
      <c r="L115" s="341">
        <v>1</v>
      </c>
      <c r="M115" s="341"/>
      <c r="N115" s="341">
        <v>131</v>
      </c>
      <c r="O115" s="341">
        <f t="shared" si="19"/>
        <v>185.5</v>
      </c>
      <c r="P115" s="341">
        <v>0</v>
      </c>
      <c r="Q115" s="343">
        <f t="shared" si="20"/>
        <v>387.9</v>
      </c>
      <c r="AA115" s="318"/>
      <c r="AB115" s="318"/>
      <c r="AC115" s="318"/>
      <c r="AD115" s="318"/>
      <c r="AE115" s="318"/>
      <c r="AF115" s="318"/>
      <c r="AG115" s="318"/>
      <c r="AH115" s="318"/>
      <c r="AI115" s="318"/>
      <c r="AJ115" s="318"/>
      <c r="AK115" s="318"/>
      <c r="AL115" s="318"/>
      <c r="AM115" s="318"/>
      <c r="AN115" s="318"/>
      <c r="AO115" s="318"/>
      <c r="AP115" s="318"/>
    </row>
    <row r="116" spans="2:42" ht="15">
      <c r="B116" s="17"/>
      <c r="C116" s="340" t="s">
        <v>712</v>
      </c>
      <c r="D116" s="503">
        <v>1900</v>
      </c>
      <c r="E116" s="502">
        <v>38684</v>
      </c>
      <c r="F116" s="341"/>
      <c r="G116" s="341">
        <v>1.6</v>
      </c>
      <c r="H116" s="341">
        <v>7</v>
      </c>
      <c r="I116" s="341">
        <v>42.4</v>
      </c>
      <c r="J116" s="341">
        <v>18.4</v>
      </c>
      <c r="K116" s="430">
        <v>1</v>
      </c>
      <c r="L116" s="341">
        <v>1</v>
      </c>
      <c r="M116" s="341"/>
      <c r="N116" s="341">
        <v>131</v>
      </c>
      <c r="O116" s="341">
        <f t="shared" si="19"/>
        <v>185.5</v>
      </c>
      <c r="P116" s="341">
        <v>0</v>
      </c>
      <c r="Q116" s="343">
        <f t="shared" si="20"/>
        <v>387.9</v>
      </c>
      <c r="AA116" s="318"/>
      <c r="AB116" s="318"/>
      <c r="AC116" s="318"/>
      <c r="AD116" s="318"/>
      <c r="AE116" s="318"/>
      <c r="AF116" s="318"/>
      <c r="AG116" s="318"/>
      <c r="AH116" s="318"/>
      <c r="AI116" s="318"/>
      <c r="AJ116" s="318"/>
      <c r="AK116" s="318"/>
      <c r="AL116" s="318"/>
      <c r="AM116" s="318"/>
      <c r="AN116" s="318"/>
      <c r="AO116" s="318"/>
      <c r="AP116" s="318"/>
    </row>
    <row r="117" spans="2:42" ht="15">
      <c r="B117" s="17"/>
      <c r="C117" s="340" t="s">
        <v>713</v>
      </c>
      <c r="D117" s="503">
        <v>1900</v>
      </c>
      <c r="E117" s="502">
        <v>38693</v>
      </c>
      <c r="F117" s="341"/>
      <c r="G117" s="341">
        <v>1.6</v>
      </c>
      <c r="H117" s="341">
        <v>7</v>
      </c>
      <c r="I117" s="341">
        <v>42.4</v>
      </c>
      <c r="J117" s="341">
        <v>18.4</v>
      </c>
      <c r="K117" s="430">
        <v>1</v>
      </c>
      <c r="L117" s="341">
        <v>1</v>
      </c>
      <c r="M117" s="341"/>
      <c r="N117" s="341">
        <v>131</v>
      </c>
      <c r="O117" s="341">
        <f t="shared" si="19"/>
        <v>185.5</v>
      </c>
      <c r="P117" s="341">
        <v>0</v>
      </c>
      <c r="Q117" s="343">
        <f t="shared" si="20"/>
        <v>387.9</v>
      </c>
      <c r="AA117" s="318"/>
      <c r="AB117" s="318"/>
      <c r="AC117" s="318"/>
      <c r="AD117" s="318"/>
      <c r="AE117" s="318"/>
      <c r="AF117" s="318"/>
      <c r="AG117" s="318"/>
      <c r="AH117" s="318"/>
      <c r="AI117" s="318"/>
      <c r="AJ117" s="318"/>
      <c r="AK117" s="318"/>
      <c r="AL117" s="318"/>
      <c r="AM117" s="318"/>
      <c r="AN117" s="318"/>
      <c r="AO117" s="318"/>
      <c r="AP117" s="318"/>
    </row>
    <row r="118" spans="27:42" ht="15">
      <c r="AA118" s="318"/>
      <c r="AB118" s="318"/>
      <c r="AC118" s="318"/>
      <c r="AD118" s="318"/>
      <c r="AE118" s="318"/>
      <c r="AF118" s="318"/>
      <c r="AG118" s="318"/>
      <c r="AH118" s="318"/>
      <c r="AI118" s="318"/>
      <c r="AJ118" s="318"/>
      <c r="AK118" s="318"/>
      <c r="AL118" s="318"/>
      <c r="AM118" s="318"/>
      <c r="AN118" s="318"/>
      <c r="AO118" s="318"/>
      <c r="AP118" s="318"/>
    </row>
    <row r="119" spans="2:69" ht="15">
      <c r="B119" s="17">
        <v>6</v>
      </c>
      <c r="C119" s="368" t="s">
        <v>42</v>
      </c>
      <c r="D119" s="137"/>
      <c r="E119" s="348"/>
      <c r="F119" s="349"/>
      <c r="G119" s="349"/>
      <c r="H119" s="349"/>
      <c r="I119" s="349"/>
      <c r="J119" s="349"/>
      <c r="K119" s="349"/>
      <c r="L119" s="349"/>
      <c r="M119" s="349"/>
      <c r="N119" s="349"/>
      <c r="O119" s="349"/>
      <c r="P119" s="349"/>
      <c r="Q119" s="349"/>
      <c r="Y119" s="350"/>
      <c r="Z119" s="351"/>
      <c r="AA119" s="351"/>
      <c r="AB119" s="351"/>
      <c r="AC119" s="351"/>
      <c r="AD119" s="351"/>
      <c r="AE119" s="351"/>
      <c r="AF119" s="351"/>
      <c r="AG119" s="351"/>
      <c r="AH119" s="351"/>
      <c r="AI119" s="351"/>
      <c r="AJ119" s="351"/>
      <c r="AK119" s="351"/>
      <c r="AL119" s="351"/>
      <c r="AM119" s="351"/>
      <c r="AN119" s="351"/>
      <c r="AO119" s="351"/>
      <c r="AP119" s="351"/>
      <c r="AQ119" s="352"/>
      <c r="AR119" s="352"/>
      <c r="AS119" s="352"/>
      <c r="AT119" s="352"/>
      <c r="AU119" s="352"/>
      <c r="AV119" s="352"/>
      <c r="AW119" s="352"/>
      <c r="AX119" s="352"/>
      <c r="AY119" s="352"/>
      <c r="AZ119" s="352"/>
      <c r="BA119" s="352"/>
      <c r="BB119" s="352"/>
      <c r="BC119" s="352"/>
      <c r="BD119" s="352"/>
      <c r="BE119" s="352"/>
      <c r="BF119" s="352"/>
      <c r="BG119" s="352"/>
      <c r="BH119" s="352"/>
      <c r="BI119" s="352"/>
      <c r="BJ119" s="352"/>
      <c r="BK119" s="352"/>
      <c r="BL119" s="352"/>
      <c r="BM119" s="352"/>
      <c r="BN119" s="352"/>
      <c r="BO119" s="352"/>
      <c r="BP119" s="352"/>
      <c r="BQ119" s="352"/>
    </row>
    <row r="120" spans="2:69" ht="15">
      <c r="B120" s="17"/>
      <c r="C120" s="137"/>
      <c r="D120" s="137"/>
      <c r="E120" s="348"/>
      <c r="F120" s="360"/>
      <c r="G120" s="137"/>
      <c r="H120" s="137"/>
      <c r="I120" s="137"/>
      <c r="J120" s="137"/>
      <c r="K120" s="137"/>
      <c r="L120" s="137"/>
      <c r="M120" s="137"/>
      <c r="N120" s="432" t="s">
        <v>48</v>
      </c>
      <c r="O120" s="431"/>
      <c r="P120" s="331" t="s">
        <v>718</v>
      </c>
      <c r="Q120" s="349"/>
      <c r="Y120" s="350"/>
      <c r="Z120" s="351"/>
      <c r="AA120" s="351"/>
      <c r="AB120" s="351"/>
      <c r="AC120" s="351"/>
      <c r="AD120" s="351"/>
      <c r="AE120" s="351"/>
      <c r="AF120" s="351"/>
      <c r="AG120" s="351"/>
      <c r="AH120" s="351"/>
      <c r="AI120" s="351"/>
      <c r="AJ120" s="351"/>
      <c r="AK120" s="351"/>
      <c r="AL120" s="351"/>
      <c r="AM120" s="351"/>
      <c r="AN120" s="351"/>
      <c r="AO120" s="351"/>
      <c r="AP120" s="351"/>
      <c r="AQ120" s="352"/>
      <c r="AR120" s="352"/>
      <c r="AS120" s="352"/>
      <c r="AT120" s="352"/>
      <c r="AU120" s="352"/>
      <c r="AV120" s="352"/>
      <c r="AW120" s="352"/>
      <c r="AX120" s="352"/>
      <c r="AY120" s="352"/>
      <c r="AZ120" s="352"/>
      <c r="BA120" s="352"/>
      <c r="BB120" s="352"/>
      <c r="BC120" s="352"/>
      <c r="BD120" s="352"/>
      <c r="BE120" s="352"/>
      <c r="BF120" s="352"/>
      <c r="BG120" s="352"/>
      <c r="BH120" s="352"/>
      <c r="BI120" s="352"/>
      <c r="BJ120" s="352"/>
      <c r="BK120" s="352"/>
      <c r="BL120" s="352"/>
      <c r="BM120" s="352"/>
      <c r="BN120" s="352"/>
      <c r="BO120" s="352"/>
      <c r="BP120" s="352"/>
      <c r="BQ120" s="352"/>
    </row>
    <row r="121" spans="2:69" ht="15">
      <c r="B121" s="17"/>
      <c r="C121" s="337"/>
      <c r="D121" s="137"/>
      <c r="E121" s="337"/>
      <c r="F121" s="339" t="s">
        <v>714</v>
      </c>
      <c r="G121" s="357" t="s">
        <v>683</v>
      </c>
      <c r="H121" s="353" t="s">
        <v>719</v>
      </c>
      <c r="I121" s="353" t="s">
        <v>720</v>
      </c>
      <c r="J121" s="353" t="s">
        <v>721</v>
      </c>
      <c r="K121" s="353" t="s">
        <v>722</v>
      </c>
      <c r="L121" s="353" t="s">
        <v>723</v>
      </c>
      <c r="M121" s="353" t="s">
        <v>724</v>
      </c>
      <c r="N121" s="338" t="s">
        <v>725</v>
      </c>
      <c r="O121" s="358" t="s">
        <v>689</v>
      </c>
      <c r="P121" s="338" t="s">
        <v>725</v>
      </c>
      <c r="Q121" s="349"/>
      <c r="Y121" s="350"/>
      <c r="Z121" s="351"/>
      <c r="AA121" s="351"/>
      <c r="AB121" s="351"/>
      <c r="AC121" s="351"/>
      <c r="AD121" s="351"/>
      <c r="AE121" s="351"/>
      <c r="AF121" s="351"/>
      <c r="AG121" s="351"/>
      <c r="AH121" s="351"/>
      <c r="AI121" s="351"/>
      <c r="AJ121" s="351"/>
      <c r="AK121" s="351"/>
      <c r="AL121" s="351"/>
      <c r="AM121" s="351"/>
      <c r="AN121" s="351"/>
      <c r="AO121" s="351"/>
      <c r="AP121" s="351"/>
      <c r="AQ121" s="352"/>
      <c r="AR121" s="352"/>
      <c r="AS121" s="352"/>
      <c r="AT121" s="352"/>
      <c r="AU121" s="352"/>
      <c r="AV121" s="352"/>
      <c r="AW121" s="352"/>
      <c r="AX121" s="352"/>
      <c r="AY121" s="352"/>
      <c r="AZ121" s="352"/>
      <c r="BA121" s="352"/>
      <c r="BB121" s="352"/>
      <c r="BC121" s="352"/>
      <c r="BD121" s="352"/>
      <c r="BE121" s="352"/>
      <c r="BF121" s="352"/>
      <c r="BG121" s="352"/>
      <c r="BH121" s="352"/>
      <c r="BI121" s="352"/>
      <c r="BJ121" s="352"/>
      <c r="BK121" s="352"/>
      <c r="BL121" s="352"/>
      <c r="BM121" s="352"/>
      <c r="BN121" s="352"/>
      <c r="BO121" s="352"/>
      <c r="BP121" s="352"/>
      <c r="BQ121" s="352"/>
    </row>
    <row r="122" spans="2:69" ht="15">
      <c r="B122" s="17"/>
      <c r="C122" s="340" t="s">
        <v>703</v>
      </c>
      <c r="D122" s="503">
        <v>1000</v>
      </c>
      <c r="E122" s="502">
        <v>38366</v>
      </c>
      <c r="F122" s="329">
        <v>0</v>
      </c>
      <c r="G122" s="329">
        <v>4908</v>
      </c>
      <c r="H122" s="329">
        <v>41894</v>
      </c>
      <c r="I122" s="329">
        <v>5803</v>
      </c>
      <c r="J122" s="329">
        <v>0</v>
      </c>
      <c r="K122" s="329">
        <v>9591</v>
      </c>
      <c r="L122" s="329">
        <v>16879</v>
      </c>
      <c r="M122" s="329">
        <v>39793</v>
      </c>
      <c r="N122" s="329">
        <f>SUM(F122:M122)/1000</f>
        <v>118.868</v>
      </c>
      <c r="O122" s="504">
        <v>77672</v>
      </c>
      <c r="P122" s="329">
        <f>N122+O122/1000</f>
        <v>196.54</v>
      </c>
      <c r="Q122" s="349"/>
      <c r="Y122" s="350"/>
      <c r="Z122" s="351"/>
      <c r="AA122" s="351"/>
      <c r="AB122" s="351"/>
      <c r="AC122" s="351"/>
      <c r="AD122" s="351"/>
      <c r="AE122" s="351"/>
      <c r="AF122" s="351"/>
      <c r="AG122" s="351"/>
      <c r="AH122" s="351"/>
      <c r="AI122" s="351"/>
      <c r="AJ122" s="351"/>
      <c r="AK122" s="351"/>
      <c r="AL122" s="351"/>
      <c r="AM122" s="351"/>
      <c r="AN122" s="351"/>
      <c r="AO122" s="351"/>
      <c r="AP122" s="351"/>
      <c r="AQ122" s="352"/>
      <c r="AR122" s="352"/>
      <c r="AS122" s="352"/>
      <c r="AT122" s="352"/>
      <c r="AU122" s="352"/>
      <c r="AV122" s="352"/>
      <c r="AW122" s="352"/>
      <c r="AX122" s="352"/>
      <c r="AY122" s="352"/>
      <c r="AZ122" s="352"/>
      <c r="BA122" s="352"/>
      <c r="BB122" s="352"/>
      <c r="BC122" s="352"/>
      <c r="BD122" s="352"/>
      <c r="BE122" s="352"/>
      <c r="BF122" s="352"/>
      <c r="BG122" s="352"/>
      <c r="BH122" s="352"/>
      <c r="BI122" s="352"/>
      <c r="BJ122" s="352"/>
      <c r="BK122" s="352"/>
      <c r="BL122" s="352"/>
      <c r="BM122" s="352"/>
      <c r="BN122" s="352"/>
      <c r="BO122" s="352"/>
      <c r="BP122" s="352"/>
      <c r="BQ122" s="352"/>
    </row>
    <row r="123" spans="2:69" ht="15">
      <c r="B123" s="17"/>
      <c r="C123" s="340" t="s">
        <v>704</v>
      </c>
      <c r="D123" s="503">
        <v>1900</v>
      </c>
      <c r="E123" s="502">
        <v>38391</v>
      </c>
      <c r="F123" s="329">
        <v>0</v>
      </c>
      <c r="G123" s="329">
        <v>5109</v>
      </c>
      <c r="H123" s="329">
        <v>38983</v>
      </c>
      <c r="I123" s="329">
        <v>5284</v>
      </c>
      <c r="J123" s="329">
        <v>0</v>
      </c>
      <c r="K123" s="329">
        <v>5879</v>
      </c>
      <c r="L123" s="329">
        <v>15078</v>
      </c>
      <c r="M123" s="329">
        <v>38329</v>
      </c>
      <c r="N123" s="329">
        <f aca="true" t="shared" si="21" ref="N123:N133">SUM(F123:M123)/1000</f>
        <v>108.662</v>
      </c>
      <c r="O123" s="504">
        <v>85628</v>
      </c>
      <c r="P123" s="329">
        <f aca="true" t="shared" si="22" ref="P123:P133">N123+O123/1000</f>
        <v>194.29000000000002</v>
      </c>
      <c r="Q123" s="349"/>
      <c r="Y123" s="350"/>
      <c r="Z123" s="351"/>
      <c r="AA123" s="351"/>
      <c r="AB123" s="351"/>
      <c r="AC123" s="351"/>
      <c r="AD123" s="351"/>
      <c r="AE123" s="351"/>
      <c r="AF123" s="351"/>
      <c r="AG123" s="351"/>
      <c r="AH123" s="351"/>
      <c r="AI123" s="351"/>
      <c r="AJ123" s="351"/>
      <c r="AK123" s="351"/>
      <c r="AL123" s="351"/>
      <c r="AM123" s="351"/>
      <c r="AN123" s="351"/>
      <c r="AO123" s="351"/>
      <c r="AP123" s="351"/>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2"/>
    </row>
    <row r="124" spans="2:69" ht="15">
      <c r="B124" s="17"/>
      <c r="C124" s="340" t="s">
        <v>705</v>
      </c>
      <c r="D124" s="503">
        <v>2000</v>
      </c>
      <c r="E124" s="502">
        <v>38433</v>
      </c>
      <c r="F124" s="329">
        <v>0</v>
      </c>
      <c r="G124" s="329">
        <v>4373</v>
      </c>
      <c r="H124" s="329">
        <v>32226</v>
      </c>
      <c r="I124" s="329">
        <v>4540</v>
      </c>
      <c r="J124" s="329">
        <v>0</v>
      </c>
      <c r="K124" s="329">
        <v>4950</v>
      </c>
      <c r="L124" s="329">
        <v>13432</v>
      </c>
      <c r="M124" s="329">
        <v>32918</v>
      </c>
      <c r="N124" s="329">
        <f t="shared" si="21"/>
        <v>92.439</v>
      </c>
      <c r="O124" s="504">
        <v>73383</v>
      </c>
      <c r="P124" s="329">
        <f t="shared" si="22"/>
        <v>165.822</v>
      </c>
      <c r="Q124" s="349"/>
      <c r="Y124" s="350"/>
      <c r="Z124" s="351"/>
      <c r="AA124" s="351"/>
      <c r="AB124" s="351"/>
      <c r="AC124" s="351"/>
      <c r="AD124" s="351"/>
      <c r="AE124" s="351"/>
      <c r="AF124" s="351"/>
      <c r="AG124" s="351"/>
      <c r="AH124" s="351"/>
      <c r="AI124" s="351"/>
      <c r="AJ124" s="351"/>
      <c r="AK124" s="351"/>
      <c r="AL124" s="351"/>
      <c r="AM124" s="351"/>
      <c r="AN124" s="351"/>
      <c r="AO124" s="351"/>
      <c r="AP124" s="351"/>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2"/>
    </row>
    <row r="125" spans="2:69" ht="15">
      <c r="B125" s="17"/>
      <c r="C125" s="340" t="s">
        <v>706</v>
      </c>
      <c r="D125" s="503">
        <v>1700</v>
      </c>
      <c r="E125" s="502">
        <v>38462</v>
      </c>
      <c r="F125" s="329">
        <v>0</v>
      </c>
      <c r="G125" s="329">
        <v>5209</v>
      </c>
      <c r="H125" s="329">
        <v>40594</v>
      </c>
      <c r="I125" s="329">
        <v>4863</v>
      </c>
      <c r="J125" s="329">
        <v>0</v>
      </c>
      <c r="K125" s="329">
        <v>6600</v>
      </c>
      <c r="L125" s="329">
        <v>17568</v>
      </c>
      <c r="M125" s="329">
        <v>40150</v>
      </c>
      <c r="N125" s="329">
        <f t="shared" si="21"/>
        <v>114.984</v>
      </c>
      <c r="O125" s="504">
        <v>52726</v>
      </c>
      <c r="P125" s="329">
        <f t="shared" si="22"/>
        <v>167.70999999999998</v>
      </c>
      <c r="Q125" s="349"/>
      <c r="Y125" s="350"/>
      <c r="Z125" s="351"/>
      <c r="AA125" s="351"/>
      <c r="AB125" s="351"/>
      <c r="AC125" s="351"/>
      <c r="AD125" s="351"/>
      <c r="AE125" s="351"/>
      <c r="AF125" s="351"/>
      <c r="AG125" s="351"/>
      <c r="AH125" s="351"/>
      <c r="AI125" s="351"/>
      <c r="AJ125" s="351"/>
      <c r="AK125" s="351"/>
      <c r="AL125" s="351"/>
      <c r="AM125" s="351"/>
      <c r="AN125" s="351"/>
      <c r="AO125" s="351"/>
      <c r="AP125" s="351"/>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2"/>
    </row>
    <row r="126" spans="2:69" ht="15">
      <c r="B126" s="17"/>
      <c r="C126" s="340" t="s">
        <v>351</v>
      </c>
      <c r="D126" s="503">
        <v>1700</v>
      </c>
      <c r="E126" s="502">
        <v>38492</v>
      </c>
      <c r="F126" s="329">
        <v>0</v>
      </c>
      <c r="G126" s="329">
        <v>6512</v>
      </c>
      <c r="H126" s="329">
        <v>37061</v>
      </c>
      <c r="I126" s="329">
        <v>6722</v>
      </c>
      <c r="J126" s="329">
        <v>0</v>
      </c>
      <c r="K126" s="329">
        <v>7323</v>
      </c>
      <c r="L126" s="329">
        <v>24516</v>
      </c>
      <c r="M126" s="329">
        <v>49894</v>
      </c>
      <c r="N126" s="329">
        <f t="shared" si="21"/>
        <v>132.028</v>
      </c>
      <c r="O126" s="504">
        <v>86119</v>
      </c>
      <c r="P126" s="329">
        <f t="shared" si="22"/>
        <v>218.147</v>
      </c>
      <c r="Q126" s="349"/>
      <c r="Y126" s="350"/>
      <c r="Z126" s="351"/>
      <c r="AA126" s="351"/>
      <c r="AB126" s="351"/>
      <c r="AC126" s="351"/>
      <c r="AD126" s="351"/>
      <c r="AE126" s="351"/>
      <c r="AF126" s="351"/>
      <c r="AG126" s="351"/>
      <c r="AH126" s="351"/>
      <c r="AI126" s="351"/>
      <c r="AJ126" s="351"/>
      <c r="AK126" s="351"/>
      <c r="AL126" s="351"/>
      <c r="AM126" s="351"/>
      <c r="AN126" s="351"/>
      <c r="AO126" s="351"/>
      <c r="AP126" s="351"/>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row>
    <row r="127" spans="2:69" ht="15">
      <c r="B127" s="17"/>
      <c r="C127" s="340" t="s">
        <v>707</v>
      </c>
      <c r="D127" s="503">
        <v>1700</v>
      </c>
      <c r="E127" s="502">
        <v>38532</v>
      </c>
      <c r="F127" s="329">
        <v>0</v>
      </c>
      <c r="G127" s="329">
        <v>8705</v>
      </c>
      <c r="H127" s="329">
        <v>28665</v>
      </c>
      <c r="I127" s="329">
        <v>113</v>
      </c>
      <c r="J127" s="329">
        <v>0</v>
      </c>
      <c r="K127" s="329">
        <v>10622</v>
      </c>
      <c r="L127" s="329">
        <v>23347</v>
      </c>
      <c r="M127" s="329">
        <v>48006</v>
      </c>
      <c r="N127" s="329">
        <f t="shared" si="21"/>
        <v>119.458</v>
      </c>
      <c r="O127" s="504">
        <v>121231</v>
      </c>
      <c r="P127" s="329">
        <f t="shared" si="22"/>
        <v>240.689</v>
      </c>
      <c r="Q127" s="349"/>
      <c r="Y127" s="350"/>
      <c r="Z127" s="351"/>
      <c r="AA127" s="351"/>
      <c r="AB127" s="351"/>
      <c r="AC127" s="351"/>
      <c r="AD127" s="351"/>
      <c r="AE127" s="351"/>
      <c r="AF127" s="351"/>
      <c r="AG127" s="351"/>
      <c r="AH127" s="351"/>
      <c r="AI127" s="351"/>
      <c r="AJ127" s="351"/>
      <c r="AK127" s="351"/>
      <c r="AL127" s="351"/>
      <c r="AM127" s="351"/>
      <c r="AN127" s="351"/>
      <c r="AO127" s="351"/>
      <c r="AP127" s="351"/>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c r="BP127" s="352"/>
      <c r="BQ127" s="352"/>
    </row>
    <row r="128" spans="2:69" ht="15">
      <c r="B128" s="17"/>
      <c r="C128" s="340" t="s">
        <v>708</v>
      </c>
      <c r="D128" s="503">
        <v>1700</v>
      </c>
      <c r="E128" s="502">
        <v>38558</v>
      </c>
      <c r="F128" s="329">
        <v>0</v>
      </c>
      <c r="G128" s="329">
        <v>9033</v>
      </c>
      <c r="H128" s="329">
        <v>20089</v>
      </c>
      <c r="I128" s="329">
        <v>995</v>
      </c>
      <c r="J128" s="329">
        <v>0</v>
      </c>
      <c r="K128" s="329">
        <v>10932</v>
      </c>
      <c r="L128" s="329">
        <v>23100</v>
      </c>
      <c r="M128" s="329">
        <v>62366</v>
      </c>
      <c r="N128" s="329">
        <f t="shared" si="21"/>
        <v>126.515</v>
      </c>
      <c r="O128" s="504">
        <v>125072</v>
      </c>
      <c r="P128" s="329">
        <f t="shared" si="22"/>
        <v>251.587</v>
      </c>
      <c r="Q128" s="349"/>
      <c r="Y128" s="350"/>
      <c r="Z128" s="351"/>
      <c r="AA128" s="351"/>
      <c r="AB128" s="351"/>
      <c r="AC128" s="351"/>
      <c r="AD128" s="351"/>
      <c r="AE128" s="351"/>
      <c r="AF128" s="351"/>
      <c r="AG128" s="351"/>
      <c r="AH128" s="351"/>
      <c r="AI128" s="351"/>
      <c r="AJ128" s="351"/>
      <c r="AK128" s="351"/>
      <c r="AL128" s="351"/>
      <c r="AM128" s="351"/>
      <c r="AN128" s="351"/>
      <c r="AO128" s="351"/>
      <c r="AP128" s="351"/>
      <c r="AQ128" s="352"/>
      <c r="AR128" s="352"/>
      <c r="AS128" s="352"/>
      <c r="AT128" s="352"/>
      <c r="AU128" s="352"/>
      <c r="AV128" s="352"/>
      <c r="AW128" s="352"/>
      <c r="AX128" s="352"/>
      <c r="AY128" s="352"/>
      <c r="AZ128" s="352"/>
      <c r="BA128" s="352"/>
      <c r="BB128" s="352"/>
      <c r="BC128" s="352"/>
      <c r="BD128" s="352"/>
      <c r="BE128" s="352"/>
      <c r="BF128" s="352"/>
      <c r="BG128" s="352"/>
      <c r="BH128" s="352"/>
      <c r="BI128" s="352"/>
      <c r="BJ128" s="352"/>
      <c r="BK128" s="352"/>
      <c r="BL128" s="352"/>
      <c r="BM128" s="352"/>
      <c r="BN128" s="352"/>
      <c r="BO128" s="352"/>
      <c r="BP128" s="352"/>
      <c r="BQ128" s="352"/>
    </row>
    <row r="129" spans="2:69" ht="15">
      <c r="B129" s="17"/>
      <c r="C129" s="340" t="s">
        <v>709</v>
      </c>
      <c r="D129" s="503">
        <v>1700</v>
      </c>
      <c r="E129" s="502">
        <v>38582</v>
      </c>
      <c r="F129" s="329">
        <v>0</v>
      </c>
      <c r="G129" s="329">
        <v>8712</v>
      </c>
      <c r="H129" s="329">
        <v>21129</v>
      </c>
      <c r="I129" s="329">
        <v>1273</v>
      </c>
      <c r="J129" s="329">
        <v>0</v>
      </c>
      <c r="K129" s="329">
        <v>11138</v>
      </c>
      <c r="L129" s="329">
        <v>23382</v>
      </c>
      <c r="M129" s="329">
        <v>60459</v>
      </c>
      <c r="N129" s="329">
        <f t="shared" si="21"/>
        <v>126.093</v>
      </c>
      <c r="O129" s="504">
        <v>120421</v>
      </c>
      <c r="P129" s="329">
        <f t="shared" si="22"/>
        <v>246.514</v>
      </c>
      <c r="Q129" s="349"/>
      <c r="Y129" s="350"/>
      <c r="Z129" s="351"/>
      <c r="AA129" s="351"/>
      <c r="AB129" s="351"/>
      <c r="AC129" s="351"/>
      <c r="AD129" s="351"/>
      <c r="AE129" s="351"/>
      <c r="AF129" s="351"/>
      <c r="AG129" s="351"/>
      <c r="AH129" s="351"/>
      <c r="AI129" s="351"/>
      <c r="AJ129" s="351"/>
      <c r="AK129" s="351"/>
      <c r="AL129" s="351"/>
      <c r="AM129" s="351"/>
      <c r="AN129" s="351"/>
      <c r="AO129" s="351"/>
      <c r="AP129" s="351"/>
      <c r="AQ129" s="352"/>
      <c r="AR129" s="352"/>
      <c r="AS129" s="352"/>
      <c r="AT129" s="352"/>
      <c r="AU129" s="352"/>
      <c r="AV129" s="352"/>
      <c r="AW129" s="352"/>
      <c r="AX129" s="352"/>
      <c r="AY129" s="352"/>
      <c r="AZ129" s="352"/>
      <c r="BA129" s="352"/>
      <c r="BB129" s="352"/>
      <c r="BC129" s="352"/>
      <c r="BD129" s="352"/>
      <c r="BE129" s="352"/>
      <c r="BF129" s="352"/>
      <c r="BG129" s="352"/>
      <c r="BH129" s="352"/>
      <c r="BI129" s="352"/>
      <c r="BJ129" s="352"/>
      <c r="BK129" s="352"/>
      <c r="BL129" s="352"/>
      <c r="BM129" s="352"/>
      <c r="BN129" s="352"/>
      <c r="BO129" s="352"/>
      <c r="BP129" s="352"/>
      <c r="BQ129" s="352"/>
    </row>
    <row r="130" spans="2:69" ht="15">
      <c r="B130" s="17"/>
      <c r="C130" s="340" t="s">
        <v>710</v>
      </c>
      <c r="D130" s="503">
        <v>1700</v>
      </c>
      <c r="E130" s="502">
        <v>38616</v>
      </c>
      <c r="F130" s="329">
        <v>0</v>
      </c>
      <c r="G130" s="329">
        <v>8030</v>
      </c>
      <c r="H130" s="329">
        <v>31576</v>
      </c>
      <c r="I130" s="329">
        <v>806</v>
      </c>
      <c r="J130" s="329">
        <v>0</v>
      </c>
      <c r="K130" s="329">
        <v>10314</v>
      </c>
      <c r="L130" s="329">
        <v>24611</v>
      </c>
      <c r="M130" s="329">
        <v>58415</v>
      </c>
      <c r="N130" s="329">
        <f t="shared" si="21"/>
        <v>133.752</v>
      </c>
      <c r="O130" s="504">
        <v>107246</v>
      </c>
      <c r="P130" s="329">
        <f t="shared" si="22"/>
        <v>240.998</v>
      </c>
      <c r="Q130" s="349"/>
      <c r="Y130" s="350"/>
      <c r="Z130" s="351"/>
      <c r="AA130" s="351"/>
      <c r="AB130" s="351"/>
      <c r="AC130" s="351"/>
      <c r="AD130" s="351"/>
      <c r="AE130" s="351"/>
      <c r="AF130" s="351"/>
      <c r="AG130" s="351"/>
      <c r="AH130" s="351"/>
      <c r="AI130" s="351"/>
      <c r="AJ130" s="351"/>
      <c r="AK130" s="351"/>
      <c r="AL130" s="351"/>
      <c r="AM130" s="351"/>
      <c r="AN130" s="351"/>
      <c r="AO130" s="351"/>
      <c r="AP130" s="351"/>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c r="BP130" s="352"/>
      <c r="BQ130" s="352"/>
    </row>
    <row r="131" spans="2:69" ht="15">
      <c r="B131" s="17"/>
      <c r="C131" s="340" t="s">
        <v>711</v>
      </c>
      <c r="D131" s="503">
        <v>1700</v>
      </c>
      <c r="E131" s="502">
        <v>38629</v>
      </c>
      <c r="F131" s="329">
        <v>0</v>
      </c>
      <c r="G131" s="329">
        <v>6351</v>
      </c>
      <c r="H131" s="329">
        <v>26924</v>
      </c>
      <c r="I131" s="329">
        <v>1029</v>
      </c>
      <c r="J131" s="329">
        <v>0</v>
      </c>
      <c r="K131" s="329">
        <v>9282</v>
      </c>
      <c r="L131" s="329">
        <v>17906</v>
      </c>
      <c r="M131" s="329">
        <v>50474</v>
      </c>
      <c r="N131" s="329">
        <f t="shared" si="21"/>
        <v>111.966</v>
      </c>
      <c r="O131" s="504">
        <v>84953</v>
      </c>
      <c r="P131" s="329">
        <f t="shared" si="22"/>
        <v>196.91899999999998</v>
      </c>
      <c r="Q131" s="349"/>
      <c r="Y131" s="350"/>
      <c r="Z131" s="351"/>
      <c r="AA131" s="351"/>
      <c r="AB131" s="351"/>
      <c r="AC131" s="351"/>
      <c r="AD131" s="351"/>
      <c r="AE131" s="351"/>
      <c r="AF131" s="351"/>
      <c r="AG131" s="351"/>
      <c r="AH131" s="351"/>
      <c r="AI131" s="351"/>
      <c r="AJ131" s="351"/>
      <c r="AK131" s="351"/>
      <c r="AL131" s="351"/>
      <c r="AM131" s="351"/>
      <c r="AN131" s="351"/>
      <c r="AO131" s="351"/>
      <c r="AP131" s="351"/>
      <c r="AQ131" s="352"/>
      <c r="AR131" s="352"/>
      <c r="AS131" s="352"/>
      <c r="AT131" s="352"/>
      <c r="AU131" s="352"/>
      <c r="AV131" s="352"/>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row>
    <row r="132" spans="2:69" ht="15">
      <c r="B132" s="17"/>
      <c r="C132" s="340" t="s">
        <v>712</v>
      </c>
      <c r="D132" s="503">
        <v>1900</v>
      </c>
      <c r="E132" s="502">
        <v>38684</v>
      </c>
      <c r="F132" s="329">
        <v>0</v>
      </c>
      <c r="G132" s="329">
        <v>5129</v>
      </c>
      <c r="H132" s="329">
        <v>41790</v>
      </c>
      <c r="I132" s="329">
        <v>5377</v>
      </c>
      <c r="J132" s="329">
        <v>0</v>
      </c>
      <c r="K132" s="329">
        <v>6910</v>
      </c>
      <c r="L132" s="329">
        <v>14215</v>
      </c>
      <c r="M132" s="329">
        <v>40177</v>
      </c>
      <c r="N132" s="329">
        <f t="shared" si="21"/>
        <v>113.598</v>
      </c>
      <c r="O132" s="504">
        <v>89260</v>
      </c>
      <c r="P132" s="329">
        <f t="shared" si="22"/>
        <v>202.858</v>
      </c>
      <c r="Q132" s="349"/>
      <c r="Y132" s="350"/>
      <c r="Z132" s="351"/>
      <c r="AA132" s="351"/>
      <c r="AB132" s="351"/>
      <c r="AC132" s="351"/>
      <c r="AD132" s="351"/>
      <c r="AE132" s="351"/>
      <c r="AF132" s="351"/>
      <c r="AG132" s="351"/>
      <c r="AH132" s="351"/>
      <c r="AI132" s="351"/>
      <c r="AJ132" s="351"/>
      <c r="AK132" s="351"/>
      <c r="AL132" s="351"/>
      <c r="AM132" s="351"/>
      <c r="AN132" s="351"/>
      <c r="AO132" s="351"/>
      <c r="AP132" s="351"/>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c r="BK132" s="352"/>
      <c r="BL132" s="352"/>
      <c r="BM132" s="352"/>
      <c r="BN132" s="352"/>
      <c r="BO132" s="352"/>
      <c r="BP132" s="352"/>
      <c r="BQ132" s="352"/>
    </row>
    <row r="133" spans="2:69" ht="15">
      <c r="B133" s="17"/>
      <c r="C133" s="340" t="s">
        <v>713</v>
      </c>
      <c r="D133" s="503">
        <v>1900</v>
      </c>
      <c r="E133" s="502">
        <v>38693</v>
      </c>
      <c r="F133" s="329">
        <v>0</v>
      </c>
      <c r="G133" s="329">
        <v>5803</v>
      </c>
      <c r="H133" s="329">
        <v>33422</v>
      </c>
      <c r="I133" s="329">
        <v>6043</v>
      </c>
      <c r="J133" s="329">
        <v>0</v>
      </c>
      <c r="K133" s="329">
        <v>7219</v>
      </c>
      <c r="L133" s="329">
        <v>15953</v>
      </c>
      <c r="M133" s="329">
        <v>43515</v>
      </c>
      <c r="N133" s="329">
        <f t="shared" si="21"/>
        <v>111.955</v>
      </c>
      <c r="O133" s="504">
        <v>106498</v>
      </c>
      <c r="P133" s="329">
        <f t="shared" si="22"/>
        <v>218.453</v>
      </c>
      <c r="Q133" s="349"/>
      <c r="Y133" s="350"/>
      <c r="Z133" s="351"/>
      <c r="AA133" s="351"/>
      <c r="AB133" s="351"/>
      <c r="AC133" s="351"/>
      <c r="AD133" s="351"/>
      <c r="AE133" s="351"/>
      <c r="AF133" s="351"/>
      <c r="AG133" s="351"/>
      <c r="AH133" s="351"/>
      <c r="AI133" s="351"/>
      <c r="AJ133" s="351"/>
      <c r="AK133" s="351"/>
      <c r="AL133" s="351"/>
      <c r="AM133" s="351"/>
      <c r="AN133" s="351"/>
      <c r="AO133" s="351"/>
      <c r="AP133" s="351"/>
      <c r="AQ133" s="352"/>
      <c r="AR133" s="352"/>
      <c r="AS133" s="352"/>
      <c r="AT133" s="352"/>
      <c r="AU133" s="352"/>
      <c r="AV133" s="352"/>
      <c r="AW133" s="352"/>
      <c r="AX133" s="352"/>
      <c r="AY133" s="352"/>
      <c r="AZ133" s="352"/>
      <c r="BA133" s="352"/>
      <c r="BB133" s="352"/>
      <c r="BC133" s="352"/>
      <c r="BD133" s="352"/>
      <c r="BE133" s="352"/>
      <c r="BF133" s="352"/>
      <c r="BG133" s="352"/>
      <c r="BH133" s="352"/>
      <c r="BI133" s="352"/>
      <c r="BJ133" s="352"/>
      <c r="BK133" s="352"/>
      <c r="BL133" s="352"/>
      <c r="BM133" s="352"/>
      <c r="BN133" s="352"/>
      <c r="BO133" s="352"/>
      <c r="BP133" s="352"/>
      <c r="BQ133" s="352"/>
    </row>
    <row r="134" spans="1:69" ht="21">
      <c r="A134" s="364" t="str">
        <f>A1</f>
        <v>Worksheet B-WE Divisor</v>
      </c>
      <c r="B134" s="312"/>
      <c r="C134" s="312"/>
      <c r="M134" s="319"/>
      <c r="N134" s="319"/>
      <c r="O134" s="319"/>
      <c r="P134" s="319"/>
      <c r="Q134" s="372" t="s">
        <v>348</v>
      </c>
      <c r="Y134" s="350"/>
      <c r="Z134" s="351"/>
      <c r="AA134" s="351"/>
      <c r="AB134" s="351"/>
      <c r="AC134" s="351"/>
      <c r="AD134" s="351"/>
      <c r="AE134" s="351"/>
      <c r="AF134" s="351"/>
      <c r="AG134" s="351"/>
      <c r="AH134" s="351"/>
      <c r="AI134" s="351"/>
      <c r="AJ134" s="351"/>
      <c r="AK134" s="351"/>
      <c r="AL134" s="351"/>
      <c r="AM134" s="351"/>
      <c r="AN134" s="351"/>
      <c r="AO134" s="351"/>
      <c r="AP134" s="351"/>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2"/>
      <c r="BM134" s="352"/>
      <c r="BN134" s="352"/>
      <c r="BO134" s="352"/>
      <c r="BP134" s="352"/>
      <c r="BQ134" s="352"/>
    </row>
    <row r="135" spans="2:69" ht="15">
      <c r="B135" s="312"/>
      <c r="C135" s="312"/>
      <c r="M135" s="319"/>
      <c r="N135" s="319"/>
      <c r="O135" s="319"/>
      <c r="P135" s="319"/>
      <c r="Q135" s="319"/>
      <c r="Y135" s="350"/>
      <c r="Z135" s="351"/>
      <c r="AA135" s="351"/>
      <c r="AB135" s="351"/>
      <c r="AC135" s="351"/>
      <c r="AD135" s="351"/>
      <c r="AE135" s="351"/>
      <c r="AF135" s="351"/>
      <c r="AG135" s="351"/>
      <c r="AH135" s="351"/>
      <c r="AI135" s="351"/>
      <c r="AJ135" s="351"/>
      <c r="AK135" s="351"/>
      <c r="AL135" s="351"/>
      <c r="AM135" s="351"/>
      <c r="AN135" s="351"/>
      <c r="AO135" s="351"/>
      <c r="AP135" s="351"/>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2"/>
      <c r="BM135" s="352"/>
      <c r="BN135" s="352"/>
      <c r="BO135" s="352"/>
      <c r="BP135" s="352"/>
      <c r="BQ135" s="352"/>
    </row>
    <row r="136" spans="2:69" ht="17.25">
      <c r="B136" s="520" t="str">
        <f>B67</f>
        <v>Westar Energy, Inc.</v>
      </c>
      <c r="C136" s="516"/>
      <c r="D136" s="516"/>
      <c r="E136" s="516"/>
      <c r="F136" s="516"/>
      <c r="G136" s="516"/>
      <c r="H136" s="516"/>
      <c r="I136" s="516"/>
      <c r="J136" s="516"/>
      <c r="K136" s="516"/>
      <c r="L136" s="510"/>
      <c r="M136" s="510"/>
      <c r="N136" s="510"/>
      <c r="O136" s="510"/>
      <c r="P136" s="510"/>
      <c r="Q136" s="510"/>
      <c r="Y136" s="350"/>
      <c r="Z136" s="351"/>
      <c r="AA136" s="351"/>
      <c r="AB136" s="351"/>
      <c r="AC136" s="351"/>
      <c r="AD136" s="351"/>
      <c r="AE136" s="351"/>
      <c r="AF136" s="351"/>
      <c r="AG136" s="351"/>
      <c r="AH136" s="351"/>
      <c r="AI136" s="351"/>
      <c r="AJ136" s="351"/>
      <c r="AK136" s="351"/>
      <c r="AL136" s="351"/>
      <c r="AM136" s="351"/>
      <c r="AN136" s="351"/>
      <c r="AO136" s="351"/>
      <c r="AP136" s="351"/>
      <c r="AQ136" s="352"/>
      <c r="AR136" s="352"/>
      <c r="AS136" s="352"/>
      <c r="AT136" s="352"/>
      <c r="AU136" s="352"/>
      <c r="AV136" s="352"/>
      <c r="AW136" s="352"/>
      <c r="AX136" s="352"/>
      <c r="AY136" s="352"/>
      <c r="AZ136" s="352"/>
      <c r="BA136" s="352"/>
      <c r="BB136" s="352"/>
      <c r="BC136" s="352"/>
      <c r="BD136" s="352"/>
      <c r="BE136" s="352"/>
      <c r="BF136" s="352"/>
      <c r="BG136" s="352"/>
      <c r="BH136" s="352"/>
      <c r="BI136" s="352"/>
      <c r="BJ136" s="352"/>
      <c r="BK136" s="352"/>
      <c r="BL136" s="352"/>
      <c r="BM136" s="352"/>
      <c r="BN136" s="352"/>
      <c r="BO136" s="352"/>
      <c r="BP136" s="352"/>
      <c r="BQ136" s="352"/>
    </row>
    <row r="137" spans="2:69" ht="17.25">
      <c r="B137" s="520" t="str">
        <f>B68</f>
        <v>Notes to the Determination of WEN's and WES' Contribution to Transmission Network Load (MW, unless otherwise noted)</v>
      </c>
      <c r="C137" s="516"/>
      <c r="D137" s="516"/>
      <c r="E137" s="516"/>
      <c r="F137" s="516"/>
      <c r="G137" s="516"/>
      <c r="H137" s="516"/>
      <c r="I137" s="516"/>
      <c r="J137" s="516"/>
      <c r="K137" s="516"/>
      <c r="L137" s="510"/>
      <c r="M137" s="510"/>
      <c r="N137" s="510"/>
      <c r="O137" s="510"/>
      <c r="P137" s="510"/>
      <c r="Q137" s="510"/>
      <c r="Y137" s="350"/>
      <c r="Z137" s="351"/>
      <c r="AA137" s="351"/>
      <c r="AB137" s="351"/>
      <c r="AC137" s="351"/>
      <c r="AD137" s="351"/>
      <c r="AE137" s="351"/>
      <c r="AF137" s="351"/>
      <c r="AG137" s="351"/>
      <c r="AH137" s="351"/>
      <c r="AI137" s="351"/>
      <c r="AJ137" s="351"/>
      <c r="AK137" s="351"/>
      <c r="AL137" s="351"/>
      <c r="AM137" s="351"/>
      <c r="AN137" s="351"/>
      <c r="AO137" s="351"/>
      <c r="AP137" s="351"/>
      <c r="AQ137" s="352"/>
      <c r="AR137" s="352"/>
      <c r="AS137" s="352"/>
      <c r="AT137" s="352"/>
      <c r="AU137" s="352"/>
      <c r="AV137" s="352"/>
      <c r="AW137" s="352"/>
      <c r="AX137" s="352"/>
      <c r="AY137" s="352"/>
      <c r="AZ137" s="352"/>
      <c r="BA137" s="352"/>
      <c r="BB137" s="352"/>
      <c r="BC137" s="352"/>
      <c r="BD137" s="352"/>
      <c r="BE137" s="352"/>
      <c r="BF137" s="352"/>
      <c r="BG137" s="352"/>
      <c r="BH137" s="352"/>
      <c r="BI137" s="352"/>
      <c r="BJ137" s="352"/>
      <c r="BK137" s="352"/>
      <c r="BL137" s="352"/>
      <c r="BM137" s="352"/>
      <c r="BN137" s="352"/>
      <c r="BO137" s="352"/>
      <c r="BP137" s="352"/>
      <c r="BQ137" s="352"/>
    </row>
    <row r="138" spans="2:69" ht="17.25">
      <c r="B138" s="421"/>
      <c r="C138" s="174"/>
      <c r="D138" s="174"/>
      <c r="E138" s="174"/>
      <c r="F138" s="174"/>
      <c r="G138" s="174"/>
      <c r="H138" s="174"/>
      <c r="I138" s="428" t="str">
        <f>G5</f>
        <v>Year Ending:</v>
      </c>
      <c r="J138" s="174"/>
      <c r="K138" s="427">
        <f>H5</f>
        <v>2005</v>
      </c>
      <c r="L138"/>
      <c r="M138"/>
      <c r="N138"/>
      <c r="O138"/>
      <c r="P138"/>
      <c r="Q138"/>
      <c r="Y138" s="350"/>
      <c r="Z138" s="351"/>
      <c r="AA138" s="351"/>
      <c r="AB138" s="351"/>
      <c r="AC138" s="351"/>
      <c r="AD138" s="351"/>
      <c r="AE138" s="351"/>
      <c r="AF138" s="351"/>
      <c r="AG138" s="351"/>
      <c r="AH138" s="351"/>
      <c r="AI138" s="351"/>
      <c r="AJ138" s="351"/>
      <c r="AK138" s="351"/>
      <c r="AL138" s="351"/>
      <c r="AM138" s="351"/>
      <c r="AN138" s="351"/>
      <c r="AO138" s="351"/>
      <c r="AP138" s="351"/>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2"/>
      <c r="BM138" s="352"/>
      <c r="BN138" s="352"/>
      <c r="BO138" s="352"/>
      <c r="BP138" s="352"/>
      <c r="BQ138" s="352"/>
    </row>
    <row r="139" spans="2:69" ht="15">
      <c r="B139" s="519" t="str">
        <f>B70</f>
        <v>(all load data in these notes comes from Westar's "NETWORK BILLING DETERMINANTS" spreadsheet or successor spreadsheet)</v>
      </c>
      <c r="C139" s="516"/>
      <c r="D139" s="516"/>
      <c r="E139" s="516"/>
      <c r="F139" s="516"/>
      <c r="G139" s="516"/>
      <c r="H139" s="516"/>
      <c r="I139" s="516"/>
      <c r="J139" s="516"/>
      <c r="K139" s="516"/>
      <c r="L139" s="516"/>
      <c r="M139" s="516"/>
      <c r="N139" s="516"/>
      <c r="O139" s="516"/>
      <c r="P139" s="516"/>
      <c r="Q139" s="516"/>
      <c r="Y139" s="350"/>
      <c r="Z139" s="351"/>
      <c r="AA139" s="351"/>
      <c r="AB139" s="351"/>
      <c r="AC139" s="351"/>
      <c r="AD139" s="351"/>
      <c r="AE139" s="351"/>
      <c r="AF139" s="351"/>
      <c r="AG139" s="351"/>
      <c r="AH139" s="351"/>
      <c r="AI139" s="351"/>
      <c r="AJ139" s="351"/>
      <c r="AK139" s="351"/>
      <c r="AL139" s="351"/>
      <c r="AM139" s="351"/>
      <c r="AN139" s="351"/>
      <c r="AO139" s="351"/>
      <c r="AP139" s="351"/>
      <c r="AQ139" s="352"/>
      <c r="AR139" s="352"/>
      <c r="AS139" s="352"/>
      <c r="AT139" s="352"/>
      <c r="AU139" s="352"/>
      <c r="AV139" s="352"/>
      <c r="AW139" s="352"/>
      <c r="AX139" s="352"/>
      <c r="AY139" s="352"/>
      <c r="AZ139" s="352"/>
      <c r="BA139" s="352"/>
      <c r="BB139" s="352"/>
      <c r="BC139" s="352"/>
      <c r="BD139" s="352"/>
      <c r="BE139" s="352"/>
      <c r="BF139" s="352"/>
      <c r="BG139" s="352"/>
      <c r="BH139" s="352"/>
      <c r="BI139" s="352"/>
      <c r="BJ139" s="352"/>
      <c r="BK139" s="352"/>
      <c r="BL139" s="352"/>
      <c r="BM139" s="352"/>
      <c r="BN139" s="352"/>
      <c r="BO139" s="352"/>
      <c r="BP139" s="352"/>
      <c r="BQ139" s="352"/>
    </row>
    <row r="140" spans="2:69" ht="15">
      <c r="B140" s="17"/>
      <c r="C140" s="368"/>
      <c r="D140" s="137"/>
      <c r="E140" s="348"/>
      <c r="F140" s="349"/>
      <c r="G140" s="349"/>
      <c r="H140" s="349"/>
      <c r="I140" s="349"/>
      <c r="J140" s="349"/>
      <c r="K140" s="349"/>
      <c r="L140" s="349"/>
      <c r="M140" s="349"/>
      <c r="N140" s="349"/>
      <c r="O140" s="349"/>
      <c r="P140" s="349"/>
      <c r="Q140" s="349"/>
      <c r="Y140" s="350"/>
      <c r="Z140" s="351"/>
      <c r="AA140" s="351"/>
      <c r="AB140" s="351"/>
      <c r="AC140" s="351"/>
      <c r="AD140" s="351"/>
      <c r="AE140" s="351"/>
      <c r="AF140" s="351"/>
      <c r="AG140" s="351"/>
      <c r="AH140" s="351"/>
      <c r="AI140" s="351"/>
      <c r="AJ140" s="351"/>
      <c r="AK140" s="351"/>
      <c r="AL140" s="351"/>
      <c r="AM140" s="351"/>
      <c r="AN140" s="351"/>
      <c r="AO140" s="351"/>
      <c r="AP140" s="351"/>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2"/>
      <c r="BM140" s="352"/>
      <c r="BN140" s="352"/>
      <c r="BO140" s="352"/>
      <c r="BP140" s="352"/>
      <c r="BQ140" s="352"/>
    </row>
    <row r="141" spans="2:69" ht="15">
      <c r="B141" s="17">
        <v>7</v>
      </c>
      <c r="C141" s="368" t="s">
        <v>792</v>
      </c>
      <c r="D141" s="137"/>
      <c r="E141" s="348"/>
      <c r="F141" s="349"/>
      <c r="G141" s="349"/>
      <c r="H141" s="349"/>
      <c r="I141" s="349"/>
      <c r="J141" s="349"/>
      <c r="K141" s="349"/>
      <c r="L141" s="349"/>
      <c r="M141" s="349"/>
      <c r="N141" s="349"/>
      <c r="O141" s="349"/>
      <c r="P141" s="349"/>
      <c r="Q141" s="349"/>
      <c r="Y141" s="351"/>
      <c r="Z141" s="351"/>
      <c r="AA141" s="351"/>
      <c r="AB141" s="351"/>
      <c r="AC141" s="351"/>
      <c r="AD141" s="351"/>
      <c r="AE141" s="351"/>
      <c r="AF141" s="351"/>
      <c r="AG141" s="351"/>
      <c r="AH141" s="351"/>
      <c r="AI141" s="351"/>
      <c r="AJ141" s="351"/>
      <c r="AK141" s="351"/>
      <c r="AL141" s="351"/>
      <c r="AM141" s="351"/>
      <c r="AN141" s="351"/>
      <c r="AO141" s="351"/>
      <c r="AP141" s="351"/>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2"/>
      <c r="BM141" s="352"/>
      <c r="BN141" s="352"/>
      <c r="BO141" s="352"/>
      <c r="BP141" s="352"/>
      <c r="BQ141" s="352"/>
    </row>
    <row r="142" spans="2:69" ht="15">
      <c r="B142" s="17"/>
      <c r="C142" s="368" t="s">
        <v>793</v>
      </c>
      <c r="D142" s="137"/>
      <c r="E142" s="348"/>
      <c r="F142" s="349"/>
      <c r="G142" s="349"/>
      <c r="H142" s="349"/>
      <c r="I142" s="349"/>
      <c r="J142" s="349"/>
      <c r="K142" s="349"/>
      <c r="L142" s="349"/>
      <c r="M142" s="349"/>
      <c r="N142" s="349"/>
      <c r="O142" s="349"/>
      <c r="P142" s="349"/>
      <c r="Q142" s="349"/>
      <c r="Y142" s="351"/>
      <c r="Z142" s="351"/>
      <c r="AA142" s="351"/>
      <c r="AB142" s="351"/>
      <c r="AC142" s="351"/>
      <c r="AD142" s="351"/>
      <c r="AE142" s="351"/>
      <c r="AF142" s="351"/>
      <c r="AG142" s="351"/>
      <c r="AH142" s="351"/>
      <c r="AI142" s="351"/>
      <c r="AJ142" s="351"/>
      <c r="AK142" s="351"/>
      <c r="AL142" s="351"/>
      <c r="AM142" s="351"/>
      <c r="AN142" s="351"/>
      <c r="AO142" s="351"/>
      <c r="AP142" s="351"/>
      <c r="AQ142" s="352"/>
      <c r="AR142" s="352"/>
      <c r="AS142" s="352"/>
      <c r="AT142" s="352"/>
      <c r="AU142" s="352"/>
      <c r="AV142" s="352"/>
      <c r="AW142" s="352"/>
      <c r="AX142" s="352"/>
      <c r="AY142" s="352"/>
      <c r="AZ142" s="352"/>
      <c r="BA142" s="352"/>
      <c r="BB142" s="352"/>
      <c r="BC142" s="352"/>
      <c r="BD142" s="352"/>
      <c r="BE142" s="352"/>
      <c r="BF142" s="352"/>
      <c r="BG142" s="352"/>
      <c r="BH142" s="352"/>
      <c r="BI142" s="352"/>
      <c r="BJ142" s="352"/>
      <c r="BK142" s="352"/>
      <c r="BL142" s="352"/>
      <c r="BM142" s="352"/>
      <c r="BN142" s="352"/>
      <c r="BO142" s="352"/>
      <c r="BP142" s="352"/>
      <c r="BQ142" s="352"/>
    </row>
    <row r="143" spans="2:69" ht="15">
      <c r="B143" s="269"/>
      <c r="C143" s="137"/>
      <c r="D143" s="137"/>
      <c r="E143" s="137"/>
      <c r="F143" s="349"/>
      <c r="G143" s="349"/>
      <c r="H143" s="349"/>
      <c r="I143" s="349"/>
      <c r="J143" s="349"/>
      <c r="K143" s="349"/>
      <c r="L143" s="349"/>
      <c r="M143" s="349"/>
      <c r="N143" s="349"/>
      <c r="O143" s="349"/>
      <c r="P143" s="349"/>
      <c r="Q143" s="349"/>
      <c r="Y143" s="351"/>
      <c r="Z143" s="351"/>
      <c r="AA143" s="351"/>
      <c r="AB143" s="351"/>
      <c r="AC143" s="351"/>
      <c r="AD143" s="351"/>
      <c r="AE143" s="351"/>
      <c r="AF143" s="351"/>
      <c r="AG143" s="351"/>
      <c r="AH143" s="351"/>
      <c r="AI143" s="351"/>
      <c r="AJ143" s="351"/>
      <c r="AK143" s="351"/>
      <c r="AL143" s="351"/>
      <c r="AM143" s="351"/>
      <c r="AN143" s="351"/>
      <c r="AO143" s="351"/>
      <c r="AP143" s="351"/>
      <c r="AQ143" s="352"/>
      <c r="AR143" s="352"/>
      <c r="AS143" s="352"/>
      <c r="AT143" s="352"/>
      <c r="AU143" s="352"/>
      <c r="AV143" s="352"/>
      <c r="AW143" s="352"/>
      <c r="AX143" s="352"/>
      <c r="AY143" s="352"/>
      <c r="AZ143" s="352"/>
      <c r="BA143" s="352"/>
      <c r="BB143" s="352"/>
      <c r="BC143" s="352"/>
      <c r="BD143" s="352"/>
      <c r="BE143" s="352"/>
      <c r="BF143" s="352"/>
      <c r="BG143" s="352"/>
      <c r="BH143" s="352"/>
      <c r="BI143" s="352"/>
      <c r="BJ143" s="352"/>
      <c r="BK143" s="352"/>
      <c r="BL143" s="352"/>
      <c r="BM143" s="352"/>
      <c r="BN143" s="352"/>
      <c r="BO143" s="352"/>
      <c r="BP143" s="352"/>
      <c r="BQ143" s="352"/>
    </row>
    <row r="144" spans="2:69" ht="15">
      <c r="B144" s="269"/>
      <c r="C144" s="137"/>
      <c r="D144" s="137"/>
      <c r="E144" s="137"/>
      <c r="F144" s="339" t="s">
        <v>714</v>
      </c>
      <c r="G144" s="339" t="s">
        <v>721</v>
      </c>
      <c r="H144" s="353" t="s">
        <v>715</v>
      </c>
      <c r="I144" s="353" t="s">
        <v>716</v>
      </c>
      <c r="J144" s="353" t="s">
        <v>717</v>
      </c>
      <c r="K144" s="353" t="s">
        <v>113</v>
      </c>
      <c r="L144" s="349"/>
      <c r="M144" s="349"/>
      <c r="N144" s="349"/>
      <c r="O144" s="349"/>
      <c r="P144" s="349"/>
      <c r="Q144" s="349"/>
      <c r="Y144" s="351"/>
      <c r="Z144" s="351"/>
      <c r="AA144" s="351"/>
      <c r="AB144" s="351"/>
      <c r="AC144" s="351"/>
      <c r="AD144" s="351"/>
      <c r="AE144" s="351"/>
      <c r="AF144" s="351"/>
      <c r="AG144" s="351"/>
      <c r="AH144" s="351"/>
      <c r="AI144" s="351"/>
      <c r="AJ144" s="351"/>
      <c r="AK144" s="351"/>
      <c r="AL144" s="351"/>
      <c r="AM144" s="351"/>
      <c r="AN144" s="351"/>
      <c r="AO144" s="351"/>
      <c r="AP144" s="351"/>
      <c r="AQ144" s="352"/>
      <c r="AR144" s="352"/>
      <c r="AS144" s="352"/>
      <c r="AT144" s="352"/>
      <c r="AU144" s="352"/>
      <c r="AV144" s="352"/>
      <c r="AW144" s="352"/>
      <c r="AX144" s="352"/>
      <c r="AY144" s="352"/>
      <c r="AZ144" s="352"/>
      <c r="BA144" s="352"/>
      <c r="BB144" s="352"/>
      <c r="BC144" s="352"/>
      <c r="BD144" s="352"/>
      <c r="BE144" s="352"/>
      <c r="BF144" s="352"/>
      <c r="BG144" s="352"/>
      <c r="BH144" s="352"/>
      <c r="BI144" s="352"/>
      <c r="BJ144" s="352"/>
      <c r="BK144" s="352"/>
      <c r="BL144" s="352"/>
      <c r="BM144" s="352"/>
      <c r="BN144" s="352"/>
      <c r="BO144" s="352"/>
      <c r="BP144" s="352"/>
      <c r="BQ144" s="352"/>
    </row>
    <row r="145" spans="2:69" ht="15">
      <c r="B145" s="269"/>
      <c r="C145" s="340" t="s">
        <v>703</v>
      </c>
      <c r="D145" s="503">
        <v>1000</v>
      </c>
      <c r="E145" s="502">
        <v>38366</v>
      </c>
      <c r="F145" s="366" t="s">
        <v>673</v>
      </c>
      <c r="G145" s="329">
        <v>0</v>
      </c>
      <c r="H145" s="329">
        <v>0</v>
      </c>
      <c r="I145" s="329">
        <v>0</v>
      </c>
      <c r="J145" s="329">
        <v>0</v>
      </c>
      <c r="K145" s="329">
        <f aca="true" t="shared" si="23" ref="K145:K156">SUM(F145:J145)</f>
        <v>0</v>
      </c>
      <c r="L145" s="349"/>
      <c r="M145" s="349"/>
      <c r="N145" s="349"/>
      <c r="O145" s="349"/>
      <c r="P145" s="349"/>
      <c r="Q145" s="349"/>
      <c r="Y145" s="351"/>
      <c r="Z145" s="351"/>
      <c r="AA145" s="351"/>
      <c r="AB145" s="351"/>
      <c r="AC145" s="351"/>
      <c r="AD145" s="351"/>
      <c r="AE145" s="351"/>
      <c r="AF145" s="351"/>
      <c r="AG145" s="351"/>
      <c r="AH145" s="351"/>
      <c r="AI145" s="351"/>
      <c r="AJ145" s="351"/>
      <c r="AK145" s="351"/>
      <c r="AL145" s="351"/>
      <c r="AM145" s="351"/>
      <c r="AN145" s="351"/>
      <c r="AO145" s="351"/>
      <c r="AP145" s="351"/>
      <c r="AQ145" s="352"/>
      <c r="AR145" s="352"/>
      <c r="AS145" s="352"/>
      <c r="AT145" s="352"/>
      <c r="AU145" s="352"/>
      <c r="AV145" s="352"/>
      <c r="AW145" s="352"/>
      <c r="AX145" s="352"/>
      <c r="AY145" s="352"/>
      <c r="AZ145" s="352"/>
      <c r="BA145" s="352"/>
      <c r="BB145" s="352"/>
      <c r="BC145" s="352"/>
      <c r="BD145" s="352"/>
      <c r="BE145" s="352"/>
      <c r="BF145" s="352"/>
      <c r="BG145" s="352"/>
      <c r="BH145" s="352"/>
      <c r="BI145" s="352"/>
      <c r="BJ145" s="352"/>
      <c r="BK145" s="352"/>
      <c r="BL145" s="352"/>
      <c r="BM145" s="352"/>
      <c r="BN145" s="352"/>
      <c r="BO145" s="352"/>
      <c r="BP145" s="352"/>
      <c r="BQ145" s="352"/>
    </row>
    <row r="146" spans="2:69" ht="15">
      <c r="B146" s="269"/>
      <c r="C146" s="340" t="s">
        <v>704</v>
      </c>
      <c r="D146" s="503">
        <v>1900</v>
      </c>
      <c r="E146" s="502">
        <v>38391</v>
      </c>
      <c r="F146" s="366" t="s">
        <v>673</v>
      </c>
      <c r="G146" s="329">
        <v>0</v>
      </c>
      <c r="H146" s="329">
        <v>0</v>
      </c>
      <c r="I146" s="329">
        <v>0</v>
      </c>
      <c r="J146" s="329">
        <v>0</v>
      </c>
      <c r="K146" s="329">
        <f t="shared" si="23"/>
        <v>0</v>
      </c>
      <c r="L146" s="349"/>
      <c r="M146" s="349"/>
      <c r="N146" s="349"/>
      <c r="O146" s="349"/>
      <c r="P146" s="349"/>
      <c r="Q146" s="349"/>
      <c r="Y146" s="351"/>
      <c r="Z146" s="351"/>
      <c r="AA146" s="351"/>
      <c r="AB146" s="351"/>
      <c r="AC146" s="351"/>
      <c r="AD146" s="351"/>
      <c r="AE146" s="351"/>
      <c r="AF146" s="351"/>
      <c r="AG146" s="351"/>
      <c r="AH146" s="351"/>
      <c r="AI146" s="351"/>
      <c r="AJ146" s="351"/>
      <c r="AK146" s="351"/>
      <c r="AL146" s="351"/>
      <c r="AM146" s="351"/>
      <c r="AN146" s="351"/>
      <c r="AO146" s="351"/>
      <c r="AP146" s="351"/>
      <c r="AQ146" s="352"/>
      <c r="AR146" s="352"/>
      <c r="AS146" s="352"/>
      <c r="AT146" s="352"/>
      <c r="AU146" s="352"/>
      <c r="AV146" s="352"/>
      <c r="AW146" s="352"/>
      <c r="AX146" s="352"/>
      <c r="AY146" s="352"/>
      <c r="AZ146" s="352"/>
      <c r="BA146" s="352"/>
      <c r="BB146" s="352"/>
      <c r="BC146" s="352"/>
      <c r="BD146" s="352"/>
      <c r="BE146" s="352"/>
      <c r="BF146" s="352"/>
      <c r="BG146" s="352"/>
      <c r="BH146" s="352"/>
      <c r="BI146" s="352"/>
      <c r="BJ146" s="352"/>
      <c r="BK146" s="352"/>
      <c r="BL146" s="352"/>
      <c r="BM146" s="352"/>
      <c r="BN146" s="352"/>
      <c r="BO146" s="352"/>
      <c r="BP146" s="352"/>
      <c r="BQ146" s="352"/>
    </row>
    <row r="147" spans="2:69" ht="15">
      <c r="B147" s="269"/>
      <c r="C147" s="340" t="s">
        <v>705</v>
      </c>
      <c r="D147" s="503">
        <v>2000</v>
      </c>
      <c r="E147" s="502">
        <v>38433</v>
      </c>
      <c r="F147" s="366" t="s">
        <v>673</v>
      </c>
      <c r="G147" s="329">
        <v>0</v>
      </c>
      <c r="H147" s="329">
        <v>0</v>
      </c>
      <c r="I147" s="329">
        <v>0</v>
      </c>
      <c r="J147" s="329">
        <v>0</v>
      </c>
      <c r="K147" s="329">
        <f t="shared" si="23"/>
        <v>0</v>
      </c>
      <c r="L147" s="349"/>
      <c r="M147" s="349"/>
      <c r="N147" s="349"/>
      <c r="O147" s="349"/>
      <c r="P147" s="349"/>
      <c r="Q147" s="349"/>
      <c r="Y147" s="351"/>
      <c r="Z147" s="351"/>
      <c r="AA147" s="351"/>
      <c r="AB147" s="351"/>
      <c r="AC147" s="351"/>
      <c r="AD147" s="351"/>
      <c r="AE147" s="351"/>
      <c r="AF147" s="351"/>
      <c r="AG147" s="351"/>
      <c r="AH147" s="351"/>
      <c r="AI147" s="351"/>
      <c r="AJ147" s="351"/>
      <c r="AK147" s="351"/>
      <c r="AL147" s="351"/>
      <c r="AM147" s="351"/>
      <c r="AN147" s="351"/>
      <c r="AO147" s="351"/>
      <c r="AP147" s="351"/>
      <c r="AQ147" s="352"/>
      <c r="AR147" s="352"/>
      <c r="AS147" s="352"/>
      <c r="AT147" s="352"/>
      <c r="AU147" s="352"/>
      <c r="AV147" s="352"/>
      <c r="AW147" s="352"/>
      <c r="AX147" s="352"/>
      <c r="AY147" s="352"/>
      <c r="AZ147" s="352"/>
      <c r="BA147" s="352"/>
      <c r="BB147" s="352"/>
      <c r="BC147" s="352"/>
      <c r="BD147" s="352"/>
      <c r="BE147" s="352"/>
      <c r="BF147" s="352"/>
      <c r="BG147" s="352"/>
      <c r="BH147" s="352"/>
      <c r="BI147" s="352"/>
      <c r="BJ147" s="352"/>
      <c r="BK147" s="352"/>
      <c r="BL147" s="352"/>
      <c r="BM147" s="352"/>
      <c r="BN147" s="352"/>
      <c r="BO147" s="352"/>
      <c r="BP147" s="352"/>
      <c r="BQ147" s="352"/>
    </row>
    <row r="148" spans="2:69" ht="15">
      <c r="B148" s="269"/>
      <c r="C148" s="340" t="s">
        <v>706</v>
      </c>
      <c r="D148" s="503">
        <v>1700</v>
      </c>
      <c r="E148" s="502">
        <v>38462</v>
      </c>
      <c r="F148" s="366" t="s">
        <v>673</v>
      </c>
      <c r="G148" s="329">
        <v>0</v>
      </c>
      <c r="H148" s="329">
        <v>0</v>
      </c>
      <c r="I148" s="329">
        <v>0</v>
      </c>
      <c r="J148" s="329">
        <v>0</v>
      </c>
      <c r="K148" s="329">
        <f t="shared" si="23"/>
        <v>0</v>
      </c>
      <c r="L148" s="349"/>
      <c r="M148" s="349"/>
      <c r="N148" s="349"/>
      <c r="O148" s="349"/>
      <c r="P148" s="349"/>
      <c r="Q148" s="349"/>
      <c r="Y148" s="351"/>
      <c r="Z148" s="351"/>
      <c r="AA148" s="351"/>
      <c r="AB148" s="351"/>
      <c r="AC148" s="351"/>
      <c r="AD148" s="351"/>
      <c r="AE148" s="351"/>
      <c r="AF148" s="351"/>
      <c r="AG148" s="351"/>
      <c r="AH148" s="351"/>
      <c r="AI148" s="351"/>
      <c r="AJ148" s="351"/>
      <c r="AK148" s="351"/>
      <c r="AL148" s="351"/>
      <c r="AM148" s="351"/>
      <c r="AN148" s="351"/>
      <c r="AO148" s="351"/>
      <c r="AP148" s="351"/>
      <c r="AQ148" s="352"/>
      <c r="AR148" s="352"/>
      <c r="AS148" s="352"/>
      <c r="AT148" s="352"/>
      <c r="AU148" s="352"/>
      <c r="AV148" s="352"/>
      <c r="AW148" s="352"/>
      <c r="AX148" s="352"/>
      <c r="AY148" s="352"/>
      <c r="AZ148" s="352"/>
      <c r="BA148" s="352"/>
      <c r="BB148" s="352"/>
      <c r="BC148" s="352"/>
      <c r="BD148" s="352"/>
      <c r="BE148" s="352"/>
      <c r="BF148" s="352"/>
      <c r="BG148" s="352"/>
      <c r="BH148" s="352"/>
      <c r="BI148" s="352"/>
      <c r="BJ148" s="352"/>
      <c r="BK148" s="352"/>
      <c r="BL148" s="352"/>
      <c r="BM148" s="352"/>
      <c r="BN148" s="352"/>
      <c r="BO148" s="352"/>
      <c r="BP148" s="352"/>
      <c r="BQ148" s="352"/>
    </row>
    <row r="149" spans="2:69" ht="15">
      <c r="B149" s="269"/>
      <c r="C149" s="340" t="s">
        <v>351</v>
      </c>
      <c r="D149" s="503">
        <v>1700</v>
      </c>
      <c r="E149" s="502">
        <v>38492</v>
      </c>
      <c r="F149" s="366" t="s">
        <v>673</v>
      </c>
      <c r="G149" s="329">
        <v>0</v>
      </c>
      <c r="H149" s="329">
        <v>0</v>
      </c>
      <c r="I149" s="329">
        <v>0</v>
      </c>
      <c r="J149" s="329">
        <v>0</v>
      </c>
      <c r="K149" s="329">
        <f t="shared" si="23"/>
        <v>0</v>
      </c>
      <c r="L149" s="349"/>
      <c r="M149" s="349"/>
      <c r="N149" s="349"/>
      <c r="O149" s="349"/>
      <c r="P149" s="349"/>
      <c r="Q149" s="349"/>
      <c r="Y149" s="351"/>
      <c r="Z149" s="351"/>
      <c r="AA149" s="351"/>
      <c r="AB149" s="351"/>
      <c r="AC149" s="351"/>
      <c r="AD149" s="351"/>
      <c r="AE149" s="351"/>
      <c r="AF149" s="351"/>
      <c r="AG149" s="351"/>
      <c r="AH149" s="351"/>
      <c r="AI149" s="351"/>
      <c r="AJ149" s="351"/>
      <c r="AK149" s="351"/>
      <c r="AL149" s="351"/>
      <c r="AM149" s="351"/>
      <c r="AN149" s="351"/>
      <c r="AO149" s="351"/>
      <c r="AP149" s="351"/>
      <c r="AQ149" s="352"/>
      <c r="AR149" s="352"/>
      <c r="AS149" s="352"/>
      <c r="AT149" s="352"/>
      <c r="AU149" s="352"/>
      <c r="AV149" s="352"/>
      <c r="AW149" s="352"/>
      <c r="AX149" s="352"/>
      <c r="AY149" s="352"/>
      <c r="AZ149" s="352"/>
      <c r="BA149" s="352"/>
      <c r="BB149" s="352"/>
      <c r="BC149" s="352"/>
      <c r="BD149" s="352"/>
      <c r="BE149" s="352"/>
      <c r="BF149" s="352"/>
      <c r="BG149" s="352"/>
      <c r="BH149" s="352"/>
      <c r="BI149" s="352"/>
      <c r="BJ149" s="352"/>
      <c r="BK149" s="352"/>
      <c r="BL149" s="352"/>
      <c r="BM149" s="352"/>
      <c r="BN149" s="352"/>
      <c r="BO149" s="352"/>
      <c r="BP149" s="352"/>
      <c r="BQ149" s="352"/>
    </row>
    <row r="150" spans="2:69" ht="15">
      <c r="B150" s="269"/>
      <c r="C150" s="340" t="s">
        <v>707</v>
      </c>
      <c r="D150" s="503">
        <v>1700</v>
      </c>
      <c r="E150" s="502">
        <v>38532</v>
      </c>
      <c r="F150" s="366">
        <f>19129</f>
        <v>19129</v>
      </c>
      <c r="G150" s="329">
        <v>7046</v>
      </c>
      <c r="H150" s="329">
        <v>0</v>
      </c>
      <c r="I150" s="329">
        <f>2700+37</f>
        <v>2737</v>
      </c>
      <c r="J150" s="329">
        <f>10246+7258</f>
        <v>17504</v>
      </c>
      <c r="K150" s="329">
        <f t="shared" si="23"/>
        <v>46416</v>
      </c>
      <c r="L150" s="349"/>
      <c r="M150" s="349"/>
      <c r="N150" s="349"/>
      <c r="O150" s="349"/>
      <c r="P150" s="349"/>
      <c r="Q150" s="349"/>
      <c r="Y150" s="351"/>
      <c r="Z150" s="351"/>
      <c r="AA150" s="351"/>
      <c r="AB150" s="351"/>
      <c r="AC150" s="351"/>
      <c r="AD150" s="351"/>
      <c r="AE150" s="351"/>
      <c r="AF150" s="351"/>
      <c r="AG150" s="351"/>
      <c r="AH150" s="351"/>
      <c r="AI150" s="351"/>
      <c r="AJ150" s="351"/>
      <c r="AK150" s="351"/>
      <c r="AL150" s="351"/>
      <c r="AM150" s="351"/>
      <c r="AN150" s="351"/>
      <c r="AO150" s="351"/>
      <c r="AP150" s="351"/>
      <c r="AQ150" s="352"/>
      <c r="AR150" s="352"/>
      <c r="AS150" s="352"/>
      <c r="AT150" s="352"/>
      <c r="AU150" s="352"/>
      <c r="AV150" s="352"/>
      <c r="AW150" s="352"/>
      <c r="AX150" s="352"/>
      <c r="AY150" s="352"/>
      <c r="AZ150" s="352"/>
      <c r="BA150" s="352"/>
      <c r="BB150" s="352"/>
      <c r="BC150" s="352"/>
      <c r="BD150" s="352"/>
      <c r="BE150" s="352"/>
      <c r="BF150" s="352"/>
      <c r="BG150" s="352"/>
      <c r="BH150" s="352"/>
      <c r="BI150" s="352"/>
      <c r="BJ150" s="352"/>
      <c r="BK150" s="352"/>
      <c r="BL150" s="352"/>
      <c r="BM150" s="352"/>
      <c r="BN150" s="352"/>
      <c r="BO150" s="352"/>
      <c r="BP150" s="352"/>
      <c r="BQ150" s="352"/>
    </row>
    <row r="151" spans="2:69" ht="15">
      <c r="B151" s="269"/>
      <c r="C151" s="340" t="s">
        <v>708</v>
      </c>
      <c r="D151" s="503">
        <v>1700</v>
      </c>
      <c r="E151" s="502">
        <v>38558</v>
      </c>
      <c r="F151" s="366">
        <f>19720</f>
        <v>19720</v>
      </c>
      <c r="G151" s="329">
        <v>7186</v>
      </c>
      <c r="H151" s="329">
        <v>0</v>
      </c>
      <c r="I151" s="329">
        <f>3097+29</f>
        <v>3126</v>
      </c>
      <c r="J151" s="329">
        <f>10961+9244</f>
        <v>20205</v>
      </c>
      <c r="K151" s="329">
        <f t="shared" si="23"/>
        <v>50237</v>
      </c>
      <c r="L151" s="349"/>
      <c r="M151" s="349"/>
      <c r="N151" s="349"/>
      <c r="O151" s="349"/>
      <c r="P151" s="349"/>
      <c r="Q151" s="349"/>
      <c r="Y151" s="351"/>
      <c r="Z151" s="351"/>
      <c r="AA151" s="351"/>
      <c r="AB151" s="351"/>
      <c r="AC151" s="351"/>
      <c r="AD151" s="351"/>
      <c r="AE151" s="351"/>
      <c r="AF151" s="351"/>
      <c r="AG151" s="351"/>
      <c r="AH151" s="351"/>
      <c r="AI151" s="351"/>
      <c r="AJ151" s="351"/>
      <c r="AK151" s="351"/>
      <c r="AL151" s="351"/>
      <c r="AM151" s="351"/>
      <c r="AN151" s="351"/>
      <c r="AO151" s="351"/>
      <c r="AP151" s="351"/>
      <c r="AQ151" s="352"/>
      <c r="AR151" s="352"/>
      <c r="AS151" s="352"/>
      <c r="AT151" s="352"/>
      <c r="AU151" s="352"/>
      <c r="AV151" s="352"/>
      <c r="AW151" s="352"/>
      <c r="AX151" s="352"/>
      <c r="AY151" s="352"/>
      <c r="AZ151" s="352"/>
      <c r="BA151" s="352"/>
      <c r="BB151" s="352"/>
      <c r="BC151" s="352"/>
      <c r="BD151" s="352"/>
      <c r="BE151" s="352"/>
      <c r="BF151" s="352"/>
      <c r="BG151" s="352"/>
      <c r="BH151" s="352"/>
      <c r="BI151" s="352"/>
      <c r="BJ151" s="352"/>
      <c r="BK151" s="352"/>
      <c r="BL151" s="352"/>
      <c r="BM151" s="352"/>
      <c r="BN151" s="352"/>
      <c r="BO151" s="352"/>
      <c r="BP151" s="352"/>
      <c r="BQ151" s="352"/>
    </row>
    <row r="152" spans="2:69" ht="15">
      <c r="B152" s="269"/>
      <c r="C152" s="340" t="s">
        <v>709</v>
      </c>
      <c r="D152" s="503">
        <v>1700</v>
      </c>
      <c r="E152" s="502">
        <v>38582</v>
      </c>
      <c r="F152" s="366">
        <f>20229</f>
        <v>20229</v>
      </c>
      <c r="G152" s="329">
        <v>3386</v>
      </c>
      <c r="H152" s="329">
        <v>0</v>
      </c>
      <c r="I152" s="329">
        <v>0</v>
      </c>
      <c r="J152" s="329">
        <f>9682+7150</f>
        <v>16832</v>
      </c>
      <c r="K152" s="329">
        <f t="shared" si="23"/>
        <v>40447</v>
      </c>
      <c r="L152" s="349"/>
      <c r="M152" s="349"/>
      <c r="N152" s="349"/>
      <c r="O152" s="349"/>
      <c r="P152" s="349"/>
      <c r="Q152" s="349"/>
      <c r="Y152" s="351"/>
      <c r="Z152" s="351"/>
      <c r="AA152" s="351"/>
      <c r="AB152" s="351"/>
      <c r="AC152" s="351"/>
      <c r="AD152" s="351"/>
      <c r="AE152" s="351"/>
      <c r="AF152" s="351"/>
      <c r="AG152" s="351"/>
      <c r="AH152" s="351"/>
      <c r="AI152" s="351"/>
      <c r="AJ152" s="351"/>
      <c r="AK152" s="351"/>
      <c r="AL152" s="351"/>
      <c r="AM152" s="351"/>
      <c r="AN152" s="351"/>
      <c r="AO152" s="351"/>
      <c r="AP152" s="351"/>
      <c r="AQ152" s="352"/>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row>
    <row r="153" spans="2:69" ht="15">
      <c r="B153" s="269"/>
      <c r="C153" s="340" t="s">
        <v>710</v>
      </c>
      <c r="D153" s="503">
        <v>1700</v>
      </c>
      <c r="E153" s="502">
        <v>38616</v>
      </c>
      <c r="F153" s="366">
        <f>18588</f>
        <v>18588</v>
      </c>
      <c r="G153" s="329">
        <v>0</v>
      </c>
      <c r="H153" s="329">
        <f>667+547</f>
        <v>1214</v>
      </c>
      <c r="I153" s="329">
        <v>0</v>
      </c>
      <c r="J153" s="329">
        <f>8260</f>
        <v>8260</v>
      </c>
      <c r="K153" s="329">
        <f t="shared" si="23"/>
        <v>28062</v>
      </c>
      <c r="L153" s="349"/>
      <c r="M153" s="349"/>
      <c r="N153" s="349"/>
      <c r="O153" s="349"/>
      <c r="P153" s="349"/>
      <c r="Q153" s="349"/>
      <c r="Y153" s="351"/>
      <c r="Z153" s="351"/>
      <c r="AA153" s="351"/>
      <c r="AB153" s="351"/>
      <c r="AC153" s="351"/>
      <c r="AD153" s="351"/>
      <c r="AE153" s="351"/>
      <c r="AF153" s="351"/>
      <c r="AG153" s="351"/>
      <c r="AH153" s="351"/>
      <c r="AI153" s="351"/>
      <c r="AJ153" s="351"/>
      <c r="AK153" s="351"/>
      <c r="AL153" s="351"/>
      <c r="AM153" s="351"/>
      <c r="AN153" s="351"/>
      <c r="AO153" s="351"/>
      <c r="AP153" s="351"/>
      <c r="AQ153" s="352"/>
      <c r="AR153" s="352"/>
      <c r="AS153" s="352"/>
      <c r="AT153" s="352"/>
      <c r="AU153" s="352"/>
      <c r="AV153" s="352"/>
      <c r="AW153" s="352"/>
      <c r="AX153" s="352"/>
      <c r="AY153" s="352"/>
      <c r="AZ153" s="352"/>
      <c r="BA153" s="352"/>
      <c r="BB153" s="352"/>
      <c r="BC153" s="352"/>
      <c r="BD153" s="352"/>
      <c r="BE153" s="352"/>
      <c r="BF153" s="352"/>
      <c r="BG153" s="352"/>
      <c r="BH153" s="352"/>
      <c r="BI153" s="352"/>
      <c r="BJ153" s="352"/>
      <c r="BK153" s="352"/>
      <c r="BL153" s="352"/>
      <c r="BM153" s="352"/>
      <c r="BN153" s="352"/>
      <c r="BO153" s="352"/>
      <c r="BP153" s="352"/>
      <c r="BQ153" s="352"/>
    </row>
    <row r="154" spans="2:69" ht="15">
      <c r="B154" s="269"/>
      <c r="C154" s="340" t="s">
        <v>711</v>
      </c>
      <c r="D154" s="503">
        <v>1700</v>
      </c>
      <c r="E154" s="502">
        <v>38629</v>
      </c>
      <c r="F154" s="329">
        <v>0</v>
      </c>
      <c r="G154" s="329">
        <v>0</v>
      </c>
      <c r="H154" s="329">
        <v>0</v>
      </c>
      <c r="I154" s="329">
        <v>0</v>
      </c>
      <c r="J154" s="329">
        <v>0</v>
      </c>
      <c r="K154" s="329">
        <f t="shared" si="23"/>
        <v>0</v>
      </c>
      <c r="L154" s="349"/>
      <c r="M154" s="349"/>
      <c r="N154" s="349"/>
      <c r="O154" s="349"/>
      <c r="P154" s="349"/>
      <c r="Q154" s="349"/>
      <c r="Y154" s="351"/>
      <c r="Z154" s="351"/>
      <c r="AA154" s="351"/>
      <c r="AB154" s="351"/>
      <c r="AC154" s="351"/>
      <c r="AD154" s="351"/>
      <c r="AE154" s="351"/>
      <c r="AF154" s="351"/>
      <c r="AG154" s="351"/>
      <c r="AH154" s="351"/>
      <c r="AI154" s="351"/>
      <c r="AJ154" s="351"/>
      <c r="AK154" s="351"/>
      <c r="AL154" s="351"/>
      <c r="AM154" s="351"/>
      <c r="AN154" s="351"/>
      <c r="AO154" s="351"/>
      <c r="AP154" s="351"/>
      <c r="AQ154" s="352"/>
      <c r="AR154" s="352"/>
      <c r="AS154" s="352"/>
      <c r="AT154" s="352"/>
      <c r="AU154" s="352"/>
      <c r="AV154" s="352"/>
      <c r="AW154" s="352"/>
      <c r="AX154" s="352"/>
      <c r="AY154" s="352"/>
      <c r="AZ154" s="352"/>
      <c r="BA154" s="352"/>
      <c r="BB154" s="352"/>
      <c r="BC154" s="352"/>
      <c r="BD154" s="352"/>
      <c r="BE154" s="352"/>
      <c r="BF154" s="352"/>
      <c r="BG154" s="352"/>
      <c r="BH154" s="352"/>
      <c r="BI154" s="352"/>
      <c r="BJ154" s="352"/>
      <c r="BK154" s="352"/>
      <c r="BL154" s="352"/>
      <c r="BM154" s="352"/>
      <c r="BN154" s="352"/>
      <c r="BO154" s="352"/>
      <c r="BP154" s="352"/>
      <c r="BQ154" s="352"/>
    </row>
    <row r="155" spans="2:69" ht="15">
      <c r="B155" s="269"/>
      <c r="C155" s="340" t="s">
        <v>712</v>
      </c>
      <c r="D155" s="503">
        <v>1900</v>
      </c>
      <c r="E155" s="502">
        <v>38684</v>
      </c>
      <c r="F155" s="329">
        <v>0</v>
      </c>
      <c r="G155" s="329">
        <v>0</v>
      </c>
      <c r="H155" s="329">
        <v>0</v>
      </c>
      <c r="I155" s="329">
        <v>0</v>
      </c>
      <c r="J155" s="329">
        <v>0</v>
      </c>
      <c r="K155" s="329">
        <f t="shared" si="23"/>
        <v>0</v>
      </c>
      <c r="L155" s="349"/>
      <c r="M155" s="349"/>
      <c r="N155" s="349"/>
      <c r="O155" s="349"/>
      <c r="P155" s="349"/>
      <c r="Q155" s="349"/>
      <c r="Y155" s="351"/>
      <c r="Z155" s="351"/>
      <c r="AA155" s="351"/>
      <c r="AB155" s="351"/>
      <c r="AC155" s="351"/>
      <c r="AD155" s="351"/>
      <c r="AE155" s="351"/>
      <c r="AF155" s="351"/>
      <c r="AG155" s="351"/>
      <c r="AH155" s="351"/>
      <c r="AI155" s="351"/>
      <c r="AJ155" s="351"/>
      <c r="AK155" s="351"/>
      <c r="AL155" s="351"/>
      <c r="AM155" s="351"/>
      <c r="AN155" s="351"/>
      <c r="AO155" s="351"/>
      <c r="AP155" s="351"/>
      <c r="AQ155" s="352"/>
      <c r="AR155" s="352"/>
      <c r="AS155" s="352"/>
      <c r="AT155" s="352"/>
      <c r="AU155" s="352"/>
      <c r="AV155" s="352"/>
      <c r="AW155" s="352"/>
      <c r="AX155" s="352"/>
      <c r="AY155" s="352"/>
      <c r="AZ155" s="352"/>
      <c r="BA155" s="352"/>
      <c r="BB155" s="352"/>
      <c r="BC155" s="352"/>
      <c r="BD155" s="352"/>
      <c r="BE155" s="352"/>
      <c r="BF155" s="352"/>
      <c r="BG155" s="352"/>
      <c r="BH155" s="352"/>
      <c r="BI155" s="352"/>
      <c r="BJ155" s="352"/>
      <c r="BK155" s="352"/>
      <c r="BL155" s="352"/>
      <c r="BM155" s="352"/>
      <c r="BN155" s="352"/>
      <c r="BO155" s="352"/>
      <c r="BP155" s="352"/>
      <c r="BQ155" s="352"/>
    </row>
    <row r="156" spans="2:69" ht="15">
      <c r="B156" s="269"/>
      <c r="C156" s="340" t="s">
        <v>713</v>
      </c>
      <c r="D156" s="503">
        <v>1900</v>
      </c>
      <c r="E156" s="502">
        <v>38693</v>
      </c>
      <c r="F156" s="329">
        <v>0</v>
      </c>
      <c r="G156" s="329">
        <v>0</v>
      </c>
      <c r="H156" s="329">
        <v>0</v>
      </c>
      <c r="I156" s="329">
        <v>0</v>
      </c>
      <c r="J156" s="329">
        <v>0</v>
      </c>
      <c r="K156" s="329">
        <f t="shared" si="23"/>
        <v>0</v>
      </c>
      <c r="L156" s="349"/>
      <c r="M156" s="349"/>
      <c r="N156" s="349"/>
      <c r="O156" s="349"/>
      <c r="P156" s="349"/>
      <c r="Q156" s="349"/>
      <c r="Y156" s="351"/>
      <c r="Z156" s="351"/>
      <c r="AA156" s="351"/>
      <c r="AB156" s="351"/>
      <c r="AC156" s="351"/>
      <c r="AD156" s="351"/>
      <c r="AE156" s="351"/>
      <c r="AF156" s="351"/>
      <c r="AG156" s="351"/>
      <c r="AH156" s="351"/>
      <c r="AI156" s="351"/>
      <c r="AJ156" s="351"/>
      <c r="AK156" s="351"/>
      <c r="AL156" s="351"/>
      <c r="AM156" s="351"/>
      <c r="AN156" s="351"/>
      <c r="AO156" s="351"/>
      <c r="AP156" s="351"/>
      <c r="AQ156" s="352"/>
      <c r="AR156" s="352"/>
      <c r="AS156" s="352"/>
      <c r="AT156" s="352"/>
      <c r="AU156" s="352"/>
      <c r="AV156" s="352"/>
      <c r="AW156" s="352"/>
      <c r="AX156" s="352"/>
      <c r="AY156" s="352"/>
      <c r="AZ156" s="352"/>
      <c r="BA156" s="352"/>
      <c r="BB156" s="352"/>
      <c r="BC156" s="352"/>
      <c r="BD156" s="352"/>
      <c r="BE156" s="352"/>
      <c r="BF156" s="352"/>
      <c r="BG156" s="352"/>
      <c r="BH156" s="352"/>
      <c r="BI156" s="352"/>
      <c r="BJ156" s="352"/>
      <c r="BK156" s="352"/>
      <c r="BL156" s="352"/>
      <c r="BM156" s="352"/>
      <c r="BN156" s="352"/>
      <c r="BO156" s="352"/>
      <c r="BP156" s="352"/>
      <c r="BQ156" s="352"/>
    </row>
    <row r="157" spans="2:69" ht="15">
      <c r="B157" s="269"/>
      <c r="C157" s="354"/>
      <c r="D157" s="355"/>
      <c r="E157" s="346"/>
      <c r="F157" s="347"/>
      <c r="G157" s="347"/>
      <c r="H157" s="347"/>
      <c r="I157" s="347"/>
      <c r="J157" s="347"/>
      <c r="K157" s="347"/>
      <c r="L157" s="349"/>
      <c r="M157" s="349"/>
      <c r="N157" s="349"/>
      <c r="O157" s="349"/>
      <c r="P157" s="349"/>
      <c r="Q157" s="349"/>
      <c r="Y157" s="351"/>
      <c r="Z157" s="351"/>
      <c r="AA157" s="351"/>
      <c r="AB157" s="351"/>
      <c r="AC157" s="351"/>
      <c r="AD157" s="351"/>
      <c r="AE157" s="351"/>
      <c r="AF157" s="351"/>
      <c r="AG157" s="351"/>
      <c r="AH157" s="351"/>
      <c r="AI157" s="351"/>
      <c r="AJ157" s="351"/>
      <c r="AK157" s="351"/>
      <c r="AL157" s="351"/>
      <c r="AM157" s="351"/>
      <c r="AN157" s="351"/>
      <c r="AO157" s="351"/>
      <c r="AP157" s="351"/>
      <c r="AQ157" s="352"/>
      <c r="AR157" s="352"/>
      <c r="AS157" s="352"/>
      <c r="AT157" s="352"/>
      <c r="AU157" s="352"/>
      <c r="AV157" s="352"/>
      <c r="AW157" s="352"/>
      <c r="AX157" s="352"/>
      <c r="AY157" s="352"/>
      <c r="AZ157" s="352"/>
      <c r="BA157" s="352"/>
      <c r="BB157" s="352"/>
      <c r="BC157" s="352"/>
      <c r="BD157" s="352"/>
      <c r="BE157" s="352"/>
      <c r="BF157" s="352"/>
      <c r="BG157" s="352"/>
      <c r="BH157" s="352"/>
      <c r="BI157" s="352"/>
      <c r="BJ157" s="352"/>
      <c r="BK157" s="352"/>
      <c r="BL157" s="352"/>
      <c r="BM157" s="352"/>
      <c r="BN157" s="352"/>
      <c r="BO157" s="352"/>
      <c r="BP157" s="352"/>
      <c r="BQ157" s="352"/>
    </row>
    <row r="158" spans="2:69" ht="15">
      <c r="B158" s="17">
        <v>8</v>
      </c>
      <c r="C158" s="369" t="s">
        <v>43</v>
      </c>
      <c r="D158" s="355"/>
      <c r="E158" s="346"/>
      <c r="F158" s="347"/>
      <c r="G158" s="347"/>
      <c r="H158" s="347"/>
      <c r="I158" s="347"/>
      <c r="J158" s="347"/>
      <c r="K158" s="347"/>
      <c r="L158" s="349"/>
      <c r="M158" s="349"/>
      <c r="N158" s="349"/>
      <c r="O158" s="349"/>
      <c r="P158" s="349"/>
      <c r="Q158" s="349"/>
      <c r="Y158" s="351"/>
      <c r="Z158" s="351"/>
      <c r="AA158" s="351"/>
      <c r="AB158" s="351"/>
      <c r="AC158" s="351"/>
      <c r="AD158" s="351"/>
      <c r="AE158" s="351"/>
      <c r="AF158" s="351"/>
      <c r="AG158" s="351"/>
      <c r="AH158" s="351"/>
      <c r="AI158" s="351"/>
      <c r="AJ158" s="351"/>
      <c r="AK158" s="351"/>
      <c r="AL158" s="351"/>
      <c r="AM158" s="351"/>
      <c r="AN158" s="351"/>
      <c r="AO158" s="351"/>
      <c r="AP158" s="351"/>
      <c r="AQ158" s="352"/>
      <c r="AR158" s="352"/>
      <c r="AS158" s="352"/>
      <c r="AT158" s="352"/>
      <c r="AU158" s="352"/>
      <c r="AV158" s="352"/>
      <c r="AW158" s="352"/>
      <c r="AX158" s="352"/>
      <c r="AY158" s="352"/>
      <c r="AZ158" s="352"/>
      <c r="BA158" s="352"/>
      <c r="BB158" s="352"/>
      <c r="BC158" s="352"/>
      <c r="BD158" s="352"/>
      <c r="BE158" s="352"/>
      <c r="BF158" s="352"/>
      <c r="BG158" s="352"/>
      <c r="BH158" s="352"/>
      <c r="BI158" s="352"/>
      <c r="BJ158" s="352"/>
      <c r="BK158" s="352"/>
      <c r="BL158" s="352"/>
      <c r="BM158" s="352"/>
      <c r="BN158" s="352"/>
      <c r="BO158" s="352"/>
      <c r="BP158" s="352"/>
      <c r="BQ158" s="352"/>
    </row>
    <row r="159" spans="2:69" ht="15">
      <c r="B159" s="269"/>
      <c r="C159" s="137"/>
      <c r="D159" s="137"/>
      <c r="E159" s="348"/>
      <c r="F159" s="137"/>
      <c r="G159" s="137"/>
      <c r="H159" s="137"/>
      <c r="I159" s="137"/>
      <c r="J159" s="137"/>
      <c r="K159" s="137"/>
      <c r="L159" s="137"/>
      <c r="M159" s="137"/>
      <c r="N159" s="137"/>
      <c r="O159" s="137"/>
      <c r="P159" s="345"/>
      <c r="Q159" s="345"/>
      <c r="Y159" s="351"/>
      <c r="Z159" s="351"/>
      <c r="AA159" s="351"/>
      <c r="AB159" s="351"/>
      <c r="AC159" s="351"/>
      <c r="AD159" s="351"/>
      <c r="AE159" s="351"/>
      <c r="AF159" s="351"/>
      <c r="AG159" s="351"/>
      <c r="AH159" s="351"/>
      <c r="AI159" s="351"/>
      <c r="AJ159" s="351"/>
      <c r="AK159" s="351"/>
      <c r="AL159" s="351"/>
      <c r="AM159" s="351"/>
      <c r="AN159" s="351"/>
      <c r="AO159" s="351"/>
      <c r="AP159" s="351"/>
      <c r="AQ159" s="352"/>
      <c r="AR159" s="352"/>
      <c r="AS159" s="352"/>
      <c r="AT159" s="352"/>
      <c r="AU159" s="352"/>
      <c r="AV159" s="352"/>
      <c r="AW159" s="352"/>
      <c r="AX159" s="352"/>
      <c r="AY159" s="352"/>
      <c r="AZ159" s="352"/>
      <c r="BA159" s="352"/>
      <c r="BB159" s="352"/>
      <c r="BC159" s="352"/>
      <c r="BD159" s="352"/>
      <c r="BE159" s="352"/>
      <c r="BF159" s="352"/>
      <c r="BG159" s="352"/>
      <c r="BH159" s="352"/>
      <c r="BI159" s="352"/>
      <c r="BJ159" s="352"/>
      <c r="BK159" s="352"/>
      <c r="BL159" s="352"/>
      <c r="BM159" s="352"/>
      <c r="BN159" s="352"/>
      <c r="BO159" s="352"/>
      <c r="BP159" s="352"/>
      <c r="BQ159" s="352"/>
    </row>
    <row r="160" spans="2:69" ht="15">
      <c r="B160" s="269"/>
      <c r="C160" s="137"/>
      <c r="D160" s="137"/>
      <c r="E160" s="348"/>
      <c r="F160" s="339" t="s">
        <v>714</v>
      </c>
      <c r="G160" s="137"/>
      <c r="H160" s="137"/>
      <c r="I160" s="137"/>
      <c r="J160" s="137"/>
      <c r="K160" s="137"/>
      <c r="L160" s="137"/>
      <c r="M160" s="137"/>
      <c r="O160" s="137"/>
      <c r="P160" s="356"/>
      <c r="Q160" s="356"/>
      <c r="Y160" s="351"/>
      <c r="Z160" s="351"/>
      <c r="AA160" s="351"/>
      <c r="AB160" s="351"/>
      <c r="AC160" s="351"/>
      <c r="AD160" s="351"/>
      <c r="AE160" s="351"/>
      <c r="AF160" s="351"/>
      <c r="AG160" s="351"/>
      <c r="AH160" s="351"/>
      <c r="AI160" s="351"/>
      <c r="AJ160" s="351"/>
      <c r="AK160" s="351"/>
      <c r="AL160" s="351"/>
      <c r="AM160" s="351"/>
      <c r="AN160" s="351"/>
      <c r="AO160" s="351"/>
      <c r="AP160" s="351"/>
      <c r="AQ160" s="352"/>
      <c r="AR160" s="352"/>
      <c r="AS160" s="352"/>
      <c r="AT160" s="352"/>
      <c r="AU160" s="352"/>
      <c r="AV160" s="352"/>
      <c r="AW160" s="352"/>
      <c r="AX160" s="352"/>
      <c r="AY160" s="352"/>
      <c r="AZ160" s="352"/>
      <c r="BA160" s="352"/>
      <c r="BB160" s="352"/>
      <c r="BC160" s="352"/>
      <c r="BD160" s="352"/>
      <c r="BE160" s="352"/>
      <c r="BF160" s="352"/>
      <c r="BG160" s="352"/>
      <c r="BH160" s="352"/>
      <c r="BI160" s="352"/>
      <c r="BJ160" s="352"/>
      <c r="BK160" s="352"/>
      <c r="BL160" s="352"/>
      <c r="BM160" s="352"/>
      <c r="BN160" s="352"/>
      <c r="BO160" s="352"/>
      <c r="BP160" s="352"/>
      <c r="BQ160" s="352"/>
    </row>
    <row r="161" spans="2:69" ht="15">
      <c r="B161" s="269"/>
      <c r="C161" s="340" t="s">
        <v>703</v>
      </c>
      <c r="D161" s="503">
        <v>1000</v>
      </c>
      <c r="E161" s="502">
        <v>38366</v>
      </c>
      <c r="F161" s="366">
        <v>4346</v>
      </c>
      <c r="P161" s="356"/>
      <c r="Q161" s="356"/>
      <c r="Y161" s="351"/>
      <c r="Z161" s="351"/>
      <c r="AA161" s="351"/>
      <c r="AB161" s="351"/>
      <c r="AC161" s="351"/>
      <c r="AD161" s="351"/>
      <c r="AE161" s="351"/>
      <c r="AF161" s="351"/>
      <c r="AG161" s="351"/>
      <c r="AH161" s="351"/>
      <c r="AI161" s="351"/>
      <c r="AJ161" s="351"/>
      <c r="AK161" s="351"/>
      <c r="AL161" s="351"/>
      <c r="AM161" s="351"/>
      <c r="AN161" s="351"/>
      <c r="AO161" s="351"/>
      <c r="AP161" s="351"/>
      <c r="AQ161" s="352"/>
      <c r="AR161" s="352"/>
      <c r="AS161" s="352"/>
      <c r="AT161" s="352"/>
      <c r="AU161" s="352"/>
      <c r="AV161" s="352"/>
      <c r="AW161" s="352"/>
      <c r="AX161" s="352"/>
      <c r="AY161" s="352"/>
      <c r="AZ161" s="352"/>
      <c r="BA161" s="352"/>
      <c r="BB161" s="352"/>
      <c r="BC161" s="352"/>
      <c r="BD161" s="352"/>
      <c r="BE161" s="352"/>
      <c r="BF161" s="352"/>
      <c r="BG161" s="352"/>
      <c r="BH161" s="352"/>
      <c r="BI161" s="352"/>
      <c r="BJ161" s="352"/>
      <c r="BK161" s="352"/>
      <c r="BL161" s="352"/>
      <c r="BM161" s="352"/>
      <c r="BN161" s="352"/>
      <c r="BO161" s="352"/>
      <c r="BP161" s="352"/>
      <c r="BQ161" s="352"/>
    </row>
    <row r="162" spans="2:69" ht="15">
      <c r="B162" s="269"/>
      <c r="C162" s="340" t="s">
        <v>704</v>
      </c>
      <c r="D162" s="503">
        <v>1900</v>
      </c>
      <c r="E162" s="502">
        <v>38391</v>
      </c>
      <c r="F162" s="366">
        <v>10515</v>
      </c>
      <c r="P162" s="356"/>
      <c r="Q162" s="356"/>
      <c r="Y162" s="351"/>
      <c r="Z162" s="351"/>
      <c r="AA162" s="351"/>
      <c r="AB162" s="351"/>
      <c r="AC162" s="351"/>
      <c r="AD162" s="351"/>
      <c r="AE162" s="351"/>
      <c r="AF162" s="351"/>
      <c r="AG162" s="351"/>
      <c r="AH162" s="351"/>
      <c r="AI162" s="351"/>
      <c r="AJ162" s="351"/>
      <c r="AK162" s="351"/>
      <c r="AL162" s="351"/>
      <c r="AM162" s="351"/>
      <c r="AN162" s="351"/>
      <c r="AO162" s="351"/>
      <c r="AP162" s="351"/>
      <c r="AQ162" s="352"/>
      <c r="AR162" s="352"/>
      <c r="AS162" s="352"/>
      <c r="AT162" s="352"/>
      <c r="AU162" s="352"/>
      <c r="AV162" s="352"/>
      <c r="AW162" s="352"/>
      <c r="AX162" s="352"/>
      <c r="AY162" s="352"/>
      <c r="AZ162" s="352"/>
      <c r="BA162" s="352"/>
      <c r="BB162" s="352"/>
      <c r="BC162" s="352"/>
      <c r="BD162" s="352"/>
      <c r="BE162" s="352"/>
      <c r="BF162" s="352"/>
      <c r="BG162" s="352"/>
      <c r="BH162" s="352"/>
      <c r="BI162" s="352"/>
      <c r="BJ162" s="352"/>
      <c r="BK162" s="352"/>
      <c r="BL162" s="352"/>
      <c r="BM162" s="352"/>
      <c r="BN162" s="352"/>
      <c r="BO162" s="352"/>
      <c r="BP162" s="352"/>
      <c r="BQ162" s="352"/>
    </row>
    <row r="163" spans="2:69" ht="15">
      <c r="B163" s="269"/>
      <c r="C163" s="340" t="s">
        <v>705</v>
      </c>
      <c r="D163" s="503">
        <v>2000</v>
      </c>
      <c r="E163" s="502">
        <v>38433</v>
      </c>
      <c r="F163" s="366">
        <v>9145</v>
      </c>
      <c r="P163" s="359"/>
      <c r="Q163" s="359"/>
      <c r="Y163" s="351"/>
      <c r="Z163" s="351"/>
      <c r="AA163" s="351"/>
      <c r="AB163" s="351"/>
      <c r="AC163" s="351"/>
      <c r="AD163" s="351"/>
      <c r="AE163" s="351"/>
      <c r="AF163" s="351"/>
      <c r="AG163" s="351"/>
      <c r="AH163" s="351"/>
      <c r="AI163" s="351"/>
      <c r="AJ163" s="351"/>
      <c r="AK163" s="351"/>
      <c r="AL163" s="351"/>
      <c r="AM163" s="351"/>
      <c r="AN163" s="351"/>
      <c r="AO163" s="351"/>
      <c r="AP163" s="351"/>
      <c r="AQ163" s="352"/>
      <c r="AR163" s="352"/>
      <c r="AS163" s="352"/>
      <c r="AT163" s="352"/>
      <c r="AU163" s="352"/>
      <c r="AV163" s="352"/>
      <c r="AW163" s="352"/>
      <c r="AX163" s="352"/>
      <c r="AY163" s="352"/>
      <c r="AZ163" s="352"/>
      <c r="BA163" s="352"/>
      <c r="BB163" s="352"/>
      <c r="BC163" s="352"/>
      <c r="BD163" s="352"/>
      <c r="BE163" s="352"/>
      <c r="BF163" s="352"/>
      <c r="BG163" s="352"/>
      <c r="BH163" s="352"/>
      <c r="BI163" s="352"/>
      <c r="BJ163" s="352"/>
      <c r="BK163" s="352"/>
      <c r="BL163" s="352"/>
      <c r="BM163" s="352"/>
      <c r="BN163" s="352"/>
      <c r="BO163" s="352"/>
      <c r="BP163" s="352"/>
      <c r="BQ163" s="352"/>
    </row>
    <row r="164" spans="2:69" ht="15">
      <c r="B164" s="269"/>
      <c r="C164" s="340" t="s">
        <v>706</v>
      </c>
      <c r="D164" s="503">
        <v>1700</v>
      </c>
      <c r="E164" s="502">
        <v>38462</v>
      </c>
      <c r="F164" s="366">
        <v>10520</v>
      </c>
      <c r="P164" s="359"/>
      <c r="Q164" s="359"/>
      <c r="Y164" s="351"/>
      <c r="Z164" s="351"/>
      <c r="AA164" s="351"/>
      <c r="AB164" s="351"/>
      <c r="AC164" s="351"/>
      <c r="AD164" s="351"/>
      <c r="AE164" s="351"/>
      <c r="AF164" s="351"/>
      <c r="AG164" s="351"/>
      <c r="AH164" s="351"/>
      <c r="AI164" s="351"/>
      <c r="AJ164" s="351"/>
      <c r="AK164" s="351"/>
      <c r="AL164" s="351"/>
      <c r="AM164" s="351"/>
      <c r="AN164" s="351"/>
      <c r="AO164" s="351"/>
      <c r="AP164" s="351"/>
      <c r="AQ164" s="352"/>
      <c r="AR164" s="352"/>
      <c r="AS164" s="352"/>
      <c r="AT164" s="352"/>
      <c r="AU164" s="352"/>
      <c r="AV164" s="352"/>
      <c r="AW164" s="352"/>
      <c r="AX164" s="352"/>
      <c r="AY164" s="352"/>
      <c r="AZ164" s="352"/>
      <c r="BA164" s="352"/>
      <c r="BB164" s="352"/>
      <c r="BC164" s="352"/>
      <c r="BD164" s="352"/>
      <c r="BE164" s="352"/>
      <c r="BF164" s="352"/>
      <c r="BG164" s="352"/>
      <c r="BH164" s="352"/>
      <c r="BI164" s="352"/>
      <c r="BJ164" s="352"/>
      <c r="BK164" s="352"/>
      <c r="BL164" s="352"/>
      <c r="BM164" s="352"/>
      <c r="BN164" s="352"/>
      <c r="BO164" s="352"/>
      <c r="BP164" s="352"/>
      <c r="BQ164" s="352"/>
    </row>
    <row r="165" spans="2:69" ht="15">
      <c r="B165" s="269"/>
      <c r="C165" s="340" t="s">
        <v>351</v>
      </c>
      <c r="D165" s="503">
        <v>1700</v>
      </c>
      <c r="E165" s="502">
        <v>38492</v>
      </c>
      <c r="F165" s="366">
        <v>16321</v>
      </c>
      <c r="P165" s="359"/>
      <c r="Q165" s="359"/>
      <c r="Y165" s="351"/>
      <c r="Z165" s="351"/>
      <c r="AA165" s="351"/>
      <c r="AB165" s="351"/>
      <c r="AC165" s="351"/>
      <c r="AD165" s="351"/>
      <c r="AE165" s="351"/>
      <c r="AF165" s="351"/>
      <c r="AG165" s="351"/>
      <c r="AH165" s="351"/>
      <c r="AI165" s="351"/>
      <c r="AJ165" s="351"/>
      <c r="AK165" s="351"/>
      <c r="AL165" s="351"/>
      <c r="AM165" s="351"/>
      <c r="AN165" s="351"/>
      <c r="AO165" s="351"/>
      <c r="AP165" s="351"/>
      <c r="AQ165" s="352"/>
      <c r="AR165" s="352"/>
      <c r="AS165" s="352"/>
      <c r="AT165" s="352"/>
      <c r="AU165" s="352"/>
      <c r="AV165" s="352"/>
      <c r="AW165" s="352"/>
      <c r="AX165" s="352"/>
      <c r="AY165" s="352"/>
      <c r="AZ165" s="352"/>
      <c r="BA165" s="352"/>
      <c r="BB165" s="352"/>
      <c r="BC165" s="352"/>
      <c r="BD165" s="352"/>
      <c r="BE165" s="352"/>
      <c r="BF165" s="352"/>
      <c r="BG165" s="352"/>
      <c r="BH165" s="352"/>
      <c r="BI165" s="352"/>
      <c r="BJ165" s="352"/>
      <c r="BK165" s="352"/>
      <c r="BL165" s="352"/>
      <c r="BM165" s="352"/>
      <c r="BN165" s="352"/>
      <c r="BO165" s="352"/>
      <c r="BP165" s="352"/>
      <c r="BQ165" s="352"/>
    </row>
    <row r="166" spans="2:42" ht="15">
      <c r="B166" s="269"/>
      <c r="C166" s="340" t="s">
        <v>707</v>
      </c>
      <c r="D166" s="503">
        <v>1700</v>
      </c>
      <c r="E166" s="502">
        <v>38532</v>
      </c>
      <c r="F166" s="366">
        <v>19903</v>
      </c>
      <c r="P166" s="359"/>
      <c r="Q166" s="359"/>
      <c r="AG166" s="318"/>
      <c r="AH166" s="318"/>
      <c r="AI166" s="318"/>
      <c r="AJ166" s="318"/>
      <c r="AK166" s="318"/>
      <c r="AL166" s="318"/>
      <c r="AM166" s="318"/>
      <c r="AN166" s="318"/>
      <c r="AO166" s="318"/>
      <c r="AP166" s="318"/>
    </row>
    <row r="167" spans="2:42" ht="15">
      <c r="B167" s="269"/>
      <c r="C167" s="340" t="s">
        <v>708</v>
      </c>
      <c r="D167" s="503">
        <v>1700</v>
      </c>
      <c r="E167" s="502">
        <v>38558</v>
      </c>
      <c r="F167" s="366">
        <v>20761</v>
      </c>
      <c r="P167" s="359"/>
      <c r="Q167" s="359"/>
      <c r="AH167" s="318"/>
      <c r="AI167" s="318"/>
      <c r="AJ167" s="318"/>
      <c r="AK167" s="318"/>
      <c r="AL167" s="318"/>
      <c r="AM167" s="318"/>
      <c r="AN167" s="318"/>
      <c r="AO167" s="318"/>
      <c r="AP167" s="318"/>
    </row>
    <row r="168" spans="2:42" ht="15">
      <c r="B168" s="269"/>
      <c r="C168" s="340" t="s">
        <v>709</v>
      </c>
      <c r="D168" s="503">
        <v>1700</v>
      </c>
      <c r="E168" s="502">
        <v>38582</v>
      </c>
      <c r="F168" s="366">
        <v>21496</v>
      </c>
      <c r="P168" s="359"/>
      <c r="Q168" s="359"/>
      <c r="AG168" s="318"/>
      <c r="AH168" s="318"/>
      <c r="AI168" s="318"/>
      <c r="AJ168" s="318"/>
      <c r="AK168" s="318"/>
      <c r="AL168" s="318"/>
      <c r="AM168" s="318"/>
      <c r="AN168" s="318"/>
      <c r="AO168" s="318"/>
      <c r="AP168" s="318"/>
    </row>
    <row r="169" spans="2:42" ht="15">
      <c r="B169" s="269"/>
      <c r="C169" s="340" t="s">
        <v>710</v>
      </c>
      <c r="D169" s="503">
        <v>1700</v>
      </c>
      <c r="E169" s="502">
        <v>38616</v>
      </c>
      <c r="F169" s="366">
        <v>19470</v>
      </c>
      <c r="P169" s="359"/>
      <c r="Q169" s="359"/>
      <c r="AG169" s="318"/>
      <c r="AH169" s="318"/>
      <c r="AI169" s="318"/>
      <c r="AJ169" s="318"/>
      <c r="AK169" s="318"/>
      <c r="AL169" s="318"/>
      <c r="AM169" s="318"/>
      <c r="AN169" s="318"/>
      <c r="AO169" s="318"/>
      <c r="AP169" s="318"/>
    </row>
    <row r="170" spans="2:42" ht="15">
      <c r="B170" s="269"/>
      <c r="C170" s="340" t="s">
        <v>711</v>
      </c>
      <c r="D170" s="503">
        <v>1700</v>
      </c>
      <c r="E170" s="502">
        <v>38629</v>
      </c>
      <c r="F170" s="329">
        <v>0</v>
      </c>
      <c r="P170" s="359"/>
      <c r="Q170" s="359"/>
      <c r="AG170" s="318"/>
      <c r="AH170" s="318"/>
      <c r="AI170" s="318"/>
      <c r="AJ170" s="318"/>
      <c r="AK170" s="318"/>
      <c r="AL170" s="318"/>
      <c r="AM170" s="318"/>
      <c r="AN170" s="318"/>
      <c r="AO170" s="318"/>
      <c r="AP170" s="318"/>
    </row>
    <row r="171" spans="2:42" ht="15">
      <c r="B171" s="269"/>
      <c r="C171" s="340" t="s">
        <v>712</v>
      </c>
      <c r="D171" s="503">
        <v>1900</v>
      </c>
      <c r="E171" s="502">
        <v>38684</v>
      </c>
      <c r="F171" s="329">
        <v>0</v>
      </c>
      <c r="P171" s="359"/>
      <c r="Q171" s="359"/>
      <c r="AG171" s="318"/>
      <c r="AH171" s="318"/>
      <c r="AI171" s="318"/>
      <c r="AJ171" s="318"/>
      <c r="AK171" s="318"/>
      <c r="AL171" s="318"/>
      <c r="AM171" s="318"/>
      <c r="AN171" s="318"/>
      <c r="AO171" s="318"/>
      <c r="AP171" s="318"/>
    </row>
    <row r="172" spans="2:42" ht="15">
      <c r="B172" s="269"/>
      <c r="C172" s="340" t="s">
        <v>713</v>
      </c>
      <c r="D172" s="503">
        <v>1900</v>
      </c>
      <c r="E172" s="502">
        <v>38693</v>
      </c>
      <c r="F172" s="329">
        <v>0</v>
      </c>
      <c r="P172" s="359"/>
      <c r="Q172" s="359"/>
      <c r="AG172" s="318"/>
      <c r="AH172" s="318"/>
      <c r="AI172" s="318"/>
      <c r="AJ172" s="318"/>
      <c r="AK172" s="318"/>
      <c r="AL172" s="318"/>
      <c r="AM172" s="318"/>
      <c r="AN172" s="318"/>
      <c r="AO172" s="318"/>
      <c r="AP172" s="318"/>
    </row>
    <row r="173" spans="2:42" ht="15">
      <c r="B173" s="269"/>
      <c r="P173" s="359"/>
      <c r="Q173" s="359"/>
      <c r="AG173" s="318"/>
      <c r="AH173" s="318"/>
      <c r="AI173" s="318"/>
      <c r="AJ173" s="318"/>
      <c r="AK173" s="318"/>
      <c r="AL173" s="318"/>
      <c r="AM173" s="318"/>
      <c r="AN173" s="318"/>
      <c r="AO173" s="318"/>
      <c r="AP173" s="318"/>
    </row>
    <row r="174" spans="2:42" ht="15">
      <c r="B174" s="269"/>
      <c r="P174" s="359"/>
      <c r="Q174" s="359"/>
      <c r="AG174" s="318"/>
      <c r="AH174" s="318"/>
      <c r="AI174" s="318"/>
      <c r="AJ174" s="318"/>
      <c r="AK174" s="318"/>
      <c r="AL174" s="318"/>
      <c r="AM174" s="318"/>
      <c r="AN174" s="318"/>
      <c r="AO174" s="318"/>
      <c r="AP174" s="318"/>
    </row>
    <row r="175" spans="2:42" ht="15">
      <c r="B175" s="269"/>
      <c r="C175" s="137"/>
      <c r="D175" s="137"/>
      <c r="E175" s="348"/>
      <c r="F175" s="137"/>
      <c r="G175" s="137"/>
      <c r="H175" s="137"/>
      <c r="I175" s="137"/>
      <c r="J175" s="137"/>
      <c r="K175" s="137"/>
      <c r="L175" s="137"/>
      <c r="M175" s="137"/>
      <c r="N175" s="137"/>
      <c r="O175" s="137"/>
      <c r="P175" s="137"/>
      <c r="Q175" s="137"/>
      <c r="AG175" s="318"/>
      <c r="AH175" s="318"/>
      <c r="AI175" s="318"/>
      <c r="AJ175" s="318"/>
      <c r="AK175" s="318"/>
      <c r="AL175" s="318"/>
      <c r="AM175" s="318"/>
      <c r="AN175" s="318"/>
      <c r="AO175" s="318"/>
      <c r="AP175" s="318"/>
    </row>
    <row r="176" spans="2:42" ht="15">
      <c r="B176" s="269"/>
      <c r="C176" s="137"/>
      <c r="D176" s="137"/>
      <c r="E176" s="348"/>
      <c r="F176" s="137"/>
      <c r="G176" s="345"/>
      <c r="H176" s="345"/>
      <c r="I176" s="345"/>
      <c r="J176" s="345"/>
      <c r="K176" s="345"/>
      <c r="L176" s="345"/>
      <c r="M176" s="345"/>
      <c r="N176" s="345"/>
      <c r="O176" s="345"/>
      <c r="P176" s="345"/>
      <c r="Q176" s="345"/>
      <c r="AG176" s="318"/>
      <c r="AH176" s="318"/>
      <c r="AI176" s="318"/>
      <c r="AJ176" s="318"/>
      <c r="AK176" s="318"/>
      <c r="AL176" s="318"/>
      <c r="AM176" s="318"/>
      <c r="AN176" s="318"/>
      <c r="AO176" s="318"/>
      <c r="AP176" s="318"/>
    </row>
    <row r="177" spans="2:42" ht="15">
      <c r="B177" s="269"/>
      <c r="C177" s="137"/>
      <c r="D177" s="137"/>
      <c r="E177" s="348"/>
      <c r="F177" s="137"/>
      <c r="G177" s="345"/>
      <c r="H177" s="345"/>
      <c r="I177" s="345"/>
      <c r="J177" s="345"/>
      <c r="K177" s="345"/>
      <c r="L177" s="345"/>
      <c r="M177" s="345"/>
      <c r="N177" s="345"/>
      <c r="O177" s="345"/>
      <c r="P177" s="360"/>
      <c r="Q177" s="356"/>
      <c r="AG177" s="318"/>
      <c r="AH177" s="318"/>
      <c r="AI177" s="318"/>
      <c r="AJ177" s="318"/>
      <c r="AK177" s="318"/>
      <c r="AL177" s="318"/>
      <c r="AM177" s="318"/>
      <c r="AN177" s="318"/>
      <c r="AO177" s="318"/>
      <c r="AP177" s="318"/>
    </row>
    <row r="178" spans="2:42" ht="15">
      <c r="B178" s="269"/>
      <c r="G178" s="360"/>
      <c r="H178" s="360"/>
      <c r="I178" s="360"/>
      <c r="J178" s="360"/>
      <c r="K178" s="360"/>
      <c r="L178" s="360"/>
      <c r="M178" s="360"/>
      <c r="N178" s="360"/>
      <c r="O178" s="360"/>
      <c r="P178" s="356"/>
      <c r="Q178" s="356"/>
      <c r="AG178" s="318"/>
      <c r="AH178" s="318"/>
      <c r="AI178" s="318"/>
      <c r="AJ178" s="318"/>
      <c r="AK178" s="318"/>
      <c r="AL178" s="318"/>
      <c r="AM178" s="318"/>
      <c r="AN178" s="318"/>
      <c r="AO178" s="318"/>
      <c r="AP178" s="318"/>
    </row>
    <row r="179" spans="2:42" ht="15">
      <c r="B179" s="269"/>
      <c r="G179" s="359"/>
      <c r="H179" s="359"/>
      <c r="I179" s="359"/>
      <c r="J179" s="359"/>
      <c r="K179" s="359"/>
      <c r="L179" s="359"/>
      <c r="M179" s="359"/>
      <c r="N179" s="359"/>
      <c r="O179" s="359"/>
      <c r="P179" s="359"/>
      <c r="Q179" s="359"/>
      <c r="AG179" s="318"/>
      <c r="AH179" s="318"/>
      <c r="AI179" s="318"/>
      <c r="AJ179" s="318"/>
      <c r="AK179" s="318"/>
      <c r="AL179" s="318"/>
      <c r="AM179" s="318"/>
      <c r="AN179" s="318"/>
      <c r="AO179" s="318"/>
      <c r="AP179" s="318"/>
    </row>
    <row r="180" spans="2:42" ht="15">
      <c r="B180" s="269"/>
      <c r="G180" s="359"/>
      <c r="H180" s="359"/>
      <c r="I180" s="359"/>
      <c r="J180" s="359"/>
      <c r="K180" s="359"/>
      <c r="L180" s="359"/>
      <c r="M180" s="359"/>
      <c r="N180" s="359"/>
      <c r="O180" s="359"/>
      <c r="P180" s="359"/>
      <c r="Q180" s="359"/>
      <c r="AG180" s="318"/>
      <c r="AH180" s="318"/>
      <c r="AI180" s="318"/>
      <c r="AJ180" s="318"/>
      <c r="AK180" s="318"/>
      <c r="AL180" s="318"/>
      <c r="AM180" s="318"/>
      <c r="AN180" s="318"/>
      <c r="AO180" s="318"/>
      <c r="AP180" s="318"/>
    </row>
    <row r="181" spans="2:42" ht="15">
      <c r="B181" s="269"/>
      <c r="G181" s="359"/>
      <c r="H181" s="359"/>
      <c r="I181" s="359"/>
      <c r="J181" s="359"/>
      <c r="K181" s="359"/>
      <c r="L181" s="359"/>
      <c r="M181" s="359"/>
      <c r="N181" s="359"/>
      <c r="O181" s="359"/>
      <c r="P181" s="359"/>
      <c r="Q181" s="359"/>
      <c r="AG181" s="318"/>
      <c r="AH181" s="318"/>
      <c r="AI181" s="318"/>
      <c r="AJ181" s="318"/>
      <c r="AK181" s="318"/>
      <c r="AL181" s="318"/>
      <c r="AM181" s="318"/>
      <c r="AN181" s="318"/>
      <c r="AO181" s="318"/>
      <c r="AP181" s="318"/>
    </row>
    <row r="182" spans="2:42" ht="15">
      <c r="B182" s="269"/>
      <c r="G182" s="359"/>
      <c r="H182" s="359"/>
      <c r="I182" s="359"/>
      <c r="J182" s="359"/>
      <c r="K182" s="359"/>
      <c r="L182" s="359"/>
      <c r="M182" s="359"/>
      <c r="N182" s="359"/>
      <c r="O182" s="359"/>
      <c r="P182" s="359"/>
      <c r="Q182" s="359"/>
      <c r="AG182" s="318"/>
      <c r="AH182" s="318"/>
      <c r="AI182" s="318"/>
      <c r="AJ182" s="318"/>
      <c r="AK182" s="318"/>
      <c r="AL182" s="318"/>
      <c r="AM182" s="318"/>
      <c r="AN182" s="318"/>
      <c r="AO182" s="318"/>
      <c r="AP182" s="318"/>
    </row>
    <row r="183" spans="2:42" ht="15">
      <c r="B183" s="269"/>
      <c r="G183" s="359"/>
      <c r="H183" s="359"/>
      <c r="I183" s="359"/>
      <c r="J183" s="359"/>
      <c r="K183" s="359"/>
      <c r="L183" s="359"/>
      <c r="M183" s="359"/>
      <c r="N183" s="359"/>
      <c r="O183" s="359"/>
      <c r="P183" s="359"/>
      <c r="Q183" s="359"/>
      <c r="AG183" s="318"/>
      <c r="AH183" s="318"/>
      <c r="AI183" s="318"/>
      <c r="AJ183" s="318"/>
      <c r="AK183" s="318"/>
      <c r="AL183" s="318"/>
      <c r="AM183" s="318"/>
      <c r="AN183" s="318"/>
      <c r="AO183" s="318"/>
      <c r="AP183" s="318"/>
    </row>
    <row r="184" spans="2:42" ht="15">
      <c r="B184" s="269"/>
      <c r="G184" s="359"/>
      <c r="H184" s="359"/>
      <c r="I184" s="359"/>
      <c r="J184" s="359"/>
      <c r="K184" s="359"/>
      <c r="L184" s="359"/>
      <c r="M184" s="359"/>
      <c r="N184" s="359"/>
      <c r="O184" s="359"/>
      <c r="P184" s="359"/>
      <c r="Q184" s="359"/>
      <c r="AG184" s="318"/>
      <c r="AH184" s="318"/>
      <c r="AI184" s="318"/>
      <c r="AJ184" s="318"/>
      <c r="AK184" s="318"/>
      <c r="AL184" s="318"/>
      <c r="AM184" s="318"/>
      <c r="AN184" s="318"/>
      <c r="AO184" s="318"/>
      <c r="AP184" s="318"/>
    </row>
    <row r="185" spans="2:42" ht="15">
      <c r="B185" s="269"/>
      <c r="G185" s="359"/>
      <c r="H185" s="359"/>
      <c r="I185" s="359"/>
      <c r="J185" s="359"/>
      <c r="K185" s="359"/>
      <c r="L185" s="359"/>
      <c r="M185" s="359"/>
      <c r="N185" s="359"/>
      <c r="O185" s="359"/>
      <c r="P185" s="359"/>
      <c r="Q185" s="359"/>
      <c r="Y185" s="318"/>
      <c r="Z185" s="318"/>
      <c r="AA185" s="318"/>
      <c r="AB185" s="318"/>
      <c r="AC185" s="318"/>
      <c r="AD185" s="318"/>
      <c r="AE185" s="318"/>
      <c r="AF185" s="318"/>
      <c r="AG185" s="318"/>
      <c r="AH185" s="318"/>
      <c r="AI185" s="318"/>
      <c r="AJ185" s="318"/>
      <c r="AK185" s="318"/>
      <c r="AL185" s="318"/>
      <c r="AM185" s="318"/>
      <c r="AN185" s="318"/>
      <c r="AO185" s="318"/>
      <c r="AP185" s="318"/>
    </row>
    <row r="186" spans="2:42" ht="15">
      <c r="B186" s="269"/>
      <c r="G186" s="359"/>
      <c r="H186" s="359"/>
      <c r="I186" s="359"/>
      <c r="J186" s="359"/>
      <c r="K186" s="359"/>
      <c r="L186" s="359"/>
      <c r="M186" s="359"/>
      <c r="N186" s="359"/>
      <c r="O186" s="359"/>
      <c r="P186" s="359"/>
      <c r="Q186" s="359"/>
      <c r="Y186" s="318"/>
      <c r="Z186" s="318"/>
      <c r="AA186" s="318"/>
      <c r="AB186" s="318"/>
      <c r="AC186" s="318"/>
      <c r="AD186" s="318"/>
      <c r="AE186" s="318"/>
      <c r="AF186" s="318"/>
      <c r="AG186" s="318"/>
      <c r="AH186" s="318"/>
      <c r="AI186" s="318"/>
      <c r="AJ186" s="318"/>
      <c r="AK186" s="318"/>
      <c r="AL186" s="318"/>
      <c r="AM186" s="318"/>
      <c r="AN186" s="318"/>
      <c r="AO186" s="318"/>
      <c r="AP186" s="318"/>
    </row>
    <row r="187" spans="2:42" ht="15">
      <c r="B187" s="269"/>
      <c r="G187" s="359"/>
      <c r="H187" s="359"/>
      <c r="I187" s="359"/>
      <c r="J187" s="359"/>
      <c r="K187" s="359"/>
      <c r="L187" s="359"/>
      <c r="M187" s="359"/>
      <c r="N187" s="359"/>
      <c r="O187" s="359"/>
      <c r="P187" s="359"/>
      <c r="Q187" s="359"/>
      <c r="Y187" s="318"/>
      <c r="Z187" s="318"/>
      <c r="AA187" s="318"/>
      <c r="AB187" s="318"/>
      <c r="AC187" s="318"/>
      <c r="AD187" s="318"/>
      <c r="AE187" s="318"/>
      <c r="AF187" s="318"/>
      <c r="AG187" s="318"/>
      <c r="AH187" s="318"/>
      <c r="AI187" s="318"/>
      <c r="AJ187" s="318"/>
      <c r="AK187" s="318"/>
      <c r="AL187" s="318"/>
      <c r="AM187" s="318"/>
      <c r="AN187" s="318"/>
      <c r="AO187" s="318"/>
      <c r="AP187" s="318"/>
    </row>
    <row r="188" spans="2:42" ht="15">
      <c r="B188" s="269"/>
      <c r="G188" s="359"/>
      <c r="H188" s="359"/>
      <c r="I188" s="359"/>
      <c r="J188" s="359"/>
      <c r="K188" s="359"/>
      <c r="L188" s="359"/>
      <c r="M188" s="359"/>
      <c r="N188" s="359"/>
      <c r="O188" s="359"/>
      <c r="P188" s="359"/>
      <c r="Q188" s="359"/>
      <c r="Y188" s="318"/>
      <c r="Z188" s="318"/>
      <c r="AA188" s="318"/>
      <c r="AB188" s="318"/>
      <c r="AC188" s="318"/>
      <c r="AD188" s="318"/>
      <c r="AE188" s="318"/>
      <c r="AF188" s="318"/>
      <c r="AG188" s="318"/>
      <c r="AH188" s="318"/>
      <c r="AI188" s="318"/>
      <c r="AJ188" s="318"/>
      <c r="AK188" s="318"/>
      <c r="AL188" s="318"/>
      <c r="AM188" s="318"/>
      <c r="AN188" s="318"/>
      <c r="AO188" s="318"/>
      <c r="AP188" s="318"/>
    </row>
    <row r="189" spans="2:42" ht="15">
      <c r="B189" s="269"/>
      <c r="G189" s="359"/>
      <c r="H189" s="359"/>
      <c r="I189" s="359"/>
      <c r="J189" s="359"/>
      <c r="K189" s="359"/>
      <c r="L189" s="359"/>
      <c r="M189" s="359"/>
      <c r="N189" s="359"/>
      <c r="O189" s="359"/>
      <c r="P189" s="359"/>
      <c r="Q189" s="359"/>
      <c r="Y189" s="318"/>
      <c r="Z189" s="318"/>
      <c r="AA189" s="318"/>
      <c r="AB189" s="318"/>
      <c r="AC189" s="318"/>
      <c r="AD189" s="318"/>
      <c r="AE189" s="318"/>
      <c r="AF189" s="318"/>
      <c r="AG189" s="318"/>
      <c r="AH189" s="318"/>
      <c r="AI189" s="318"/>
      <c r="AJ189" s="318"/>
      <c r="AK189" s="318"/>
      <c r="AL189" s="318"/>
      <c r="AM189" s="318"/>
      <c r="AN189" s="318"/>
      <c r="AO189" s="318"/>
      <c r="AP189" s="318"/>
    </row>
    <row r="190" spans="2:42" ht="15">
      <c r="B190" s="269"/>
      <c r="G190" s="359"/>
      <c r="H190" s="359"/>
      <c r="I190" s="359"/>
      <c r="J190" s="359"/>
      <c r="K190" s="359"/>
      <c r="L190" s="359"/>
      <c r="M190" s="359"/>
      <c r="N190" s="359"/>
      <c r="O190" s="359"/>
      <c r="P190" s="359"/>
      <c r="Q190" s="359"/>
      <c r="Y190" s="318"/>
      <c r="Z190" s="318"/>
      <c r="AA190" s="318"/>
      <c r="AB190" s="318"/>
      <c r="AC190" s="318"/>
      <c r="AD190" s="318"/>
      <c r="AE190" s="318"/>
      <c r="AF190" s="318"/>
      <c r="AG190" s="318"/>
      <c r="AH190" s="318"/>
      <c r="AI190" s="318"/>
      <c r="AJ190" s="318"/>
      <c r="AK190" s="318"/>
      <c r="AL190" s="318"/>
      <c r="AM190" s="318"/>
      <c r="AN190" s="318"/>
      <c r="AO190" s="318"/>
      <c r="AP190" s="318"/>
    </row>
    <row r="191" spans="25:42" ht="15">
      <c r="Y191" s="318"/>
      <c r="Z191" s="318"/>
      <c r="AA191" s="318"/>
      <c r="AB191" s="318"/>
      <c r="AC191" s="318"/>
      <c r="AD191" s="318"/>
      <c r="AE191" s="318"/>
      <c r="AF191" s="318"/>
      <c r="AG191" s="318"/>
      <c r="AH191" s="318"/>
      <c r="AI191" s="318"/>
      <c r="AJ191" s="318"/>
      <c r="AK191" s="318"/>
      <c r="AL191" s="318"/>
      <c r="AM191" s="318"/>
      <c r="AN191" s="318"/>
      <c r="AO191" s="318"/>
      <c r="AP191" s="318"/>
    </row>
    <row r="192" spans="25:42" ht="15">
      <c r="Y192" s="318"/>
      <c r="Z192" s="318"/>
      <c r="AA192" s="318"/>
      <c r="AB192" s="318"/>
      <c r="AC192" s="318"/>
      <c r="AD192" s="318"/>
      <c r="AE192" s="318"/>
      <c r="AF192" s="318"/>
      <c r="AG192" s="318"/>
      <c r="AH192" s="318"/>
      <c r="AI192" s="318"/>
      <c r="AJ192" s="318"/>
      <c r="AK192" s="318"/>
      <c r="AL192" s="318"/>
      <c r="AM192" s="318"/>
      <c r="AN192" s="318"/>
      <c r="AO192" s="318"/>
      <c r="AP192" s="318"/>
    </row>
    <row r="193" spans="25:42" ht="15">
      <c r="Y193" s="318"/>
      <c r="Z193" s="318"/>
      <c r="AA193" s="318"/>
      <c r="AB193" s="318"/>
      <c r="AC193" s="318"/>
      <c r="AD193" s="318"/>
      <c r="AE193" s="318"/>
      <c r="AF193" s="318"/>
      <c r="AG193" s="318"/>
      <c r="AH193" s="318"/>
      <c r="AI193" s="318"/>
      <c r="AJ193" s="318"/>
      <c r="AK193" s="318"/>
      <c r="AL193" s="318"/>
      <c r="AM193" s="318"/>
      <c r="AN193" s="318"/>
      <c r="AO193" s="318"/>
      <c r="AP193" s="318"/>
    </row>
    <row r="194" spans="25:42" ht="15">
      <c r="Y194" s="318"/>
      <c r="Z194" s="318"/>
      <c r="AA194" s="318"/>
      <c r="AB194" s="318"/>
      <c r="AC194" s="318"/>
      <c r="AD194" s="318"/>
      <c r="AE194" s="318"/>
      <c r="AF194" s="318"/>
      <c r="AG194" s="318"/>
      <c r="AH194" s="318"/>
      <c r="AI194" s="318"/>
      <c r="AJ194" s="318"/>
      <c r="AK194" s="318"/>
      <c r="AL194" s="318"/>
      <c r="AM194" s="318"/>
      <c r="AN194" s="318"/>
      <c r="AO194" s="318"/>
      <c r="AP194" s="318"/>
    </row>
    <row r="195" spans="25:42" ht="15">
      <c r="Y195" s="318"/>
      <c r="Z195" s="318"/>
      <c r="AA195" s="318"/>
      <c r="AB195" s="318"/>
      <c r="AC195" s="318"/>
      <c r="AD195" s="318"/>
      <c r="AE195" s="318"/>
      <c r="AF195" s="318"/>
      <c r="AG195" s="318"/>
      <c r="AH195" s="318"/>
      <c r="AI195" s="318"/>
      <c r="AJ195" s="318"/>
      <c r="AK195" s="318"/>
      <c r="AL195" s="318"/>
      <c r="AM195" s="318"/>
      <c r="AN195" s="318"/>
      <c r="AO195" s="318"/>
      <c r="AP195" s="318"/>
    </row>
    <row r="196" spans="25:42" ht="15">
      <c r="Y196" s="318"/>
      <c r="Z196" s="318"/>
      <c r="AA196" s="318"/>
      <c r="AB196" s="318"/>
      <c r="AC196" s="318"/>
      <c r="AD196" s="318"/>
      <c r="AE196" s="318"/>
      <c r="AF196" s="318"/>
      <c r="AG196" s="318"/>
      <c r="AH196" s="318"/>
      <c r="AI196" s="318"/>
      <c r="AJ196" s="318"/>
      <c r="AK196" s="318"/>
      <c r="AL196" s="318"/>
      <c r="AM196" s="318"/>
      <c r="AN196" s="318"/>
      <c r="AO196" s="318"/>
      <c r="AP196" s="318"/>
    </row>
    <row r="197" spans="25:42" ht="15">
      <c r="Y197" s="318"/>
      <c r="Z197" s="318"/>
      <c r="AA197" s="318"/>
      <c r="AB197" s="318"/>
      <c r="AC197" s="318"/>
      <c r="AD197" s="318"/>
      <c r="AE197" s="318"/>
      <c r="AF197" s="318"/>
      <c r="AG197" s="318"/>
      <c r="AH197" s="318"/>
      <c r="AI197" s="318"/>
      <c r="AJ197" s="318"/>
      <c r="AK197" s="318"/>
      <c r="AL197" s="318"/>
      <c r="AM197" s="318"/>
      <c r="AN197" s="318"/>
      <c r="AO197" s="318"/>
      <c r="AP197" s="318"/>
    </row>
    <row r="198" spans="25:42" ht="15">
      <c r="Y198" s="318"/>
      <c r="Z198" s="318"/>
      <c r="AA198" s="318"/>
      <c r="AB198" s="318"/>
      <c r="AC198" s="318"/>
      <c r="AD198" s="318"/>
      <c r="AE198" s="318"/>
      <c r="AF198" s="318"/>
      <c r="AG198" s="318"/>
      <c r="AH198" s="318"/>
      <c r="AI198" s="318"/>
      <c r="AJ198" s="318"/>
      <c r="AK198" s="318"/>
      <c r="AL198" s="318"/>
      <c r="AM198" s="318"/>
      <c r="AN198" s="318"/>
      <c r="AO198" s="318"/>
      <c r="AP198" s="318"/>
    </row>
    <row r="199" spans="25:42" ht="15">
      <c r="Y199" s="318"/>
      <c r="Z199" s="318"/>
      <c r="AA199" s="318"/>
      <c r="AB199" s="318"/>
      <c r="AC199" s="318"/>
      <c r="AD199" s="318"/>
      <c r="AE199" s="318"/>
      <c r="AF199" s="318"/>
      <c r="AG199" s="318"/>
      <c r="AH199" s="318"/>
      <c r="AI199" s="318"/>
      <c r="AJ199" s="318"/>
      <c r="AK199" s="318"/>
      <c r="AL199" s="318"/>
      <c r="AM199" s="318"/>
      <c r="AN199" s="318"/>
      <c r="AO199" s="318"/>
      <c r="AP199" s="318"/>
    </row>
    <row r="200" spans="2:42" ht="15">
      <c r="B200" s="361"/>
      <c r="C200" s="362"/>
      <c r="D200" s="361"/>
      <c r="E200" s="351"/>
      <c r="F200" s="351"/>
      <c r="G200" s="351"/>
      <c r="H200" s="351"/>
      <c r="I200" s="351"/>
      <c r="J200" s="351"/>
      <c r="K200" s="351"/>
      <c r="L200" s="352"/>
      <c r="M200" s="351"/>
      <c r="N200" s="351"/>
      <c r="O200" s="351"/>
      <c r="P200" s="351"/>
      <c r="Q200" s="351"/>
      <c r="R200" s="351"/>
      <c r="S200" s="351"/>
      <c r="T200" s="351"/>
      <c r="U200" s="351"/>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row>
    <row r="201" spans="3:42" ht="15">
      <c r="C201" s="352"/>
      <c r="D201" s="318"/>
      <c r="E201" s="318"/>
      <c r="F201" s="318"/>
      <c r="G201" s="318"/>
      <c r="H201" s="318"/>
      <c r="I201" s="318"/>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row>
    <row r="202" spans="3:42" ht="15">
      <c r="C202" s="352"/>
      <c r="D202" s="318"/>
      <c r="E202" s="318"/>
      <c r="F202" s="318"/>
      <c r="G202" s="318"/>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row>
    <row r="203" spans="3:42" ht="15">
      <c r="C203" s="352"/>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18"/>
      <c r="AN203" s="318"/>
      <c r="AO203" s="318"/>
      <c r="AP203" s="318"/>
    </row>
    <row r="204" spans="3:42" ht="15">
      <c r="C204" s="352"/>
      <c r="D204" s="318"/>
      <c r="E204" s="318"/>
      <c r="F204" s="318"/>
      <c r="G204" s="318"/>
      <c r="H204" s="318"/>
      <c r="I204" s="318"/>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row>
    <row r="205" spans="3:42" ht="15">
      <c r="C205" s="352"/>
      <c r="D205" s="318"/>
      <c r="E205" s="318"/>
      <c r="F205" s="318"/>
      <c r="G205" s="318"/>
      <c r="H205" s="318"/>
      <c r="I205" s="318"/>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row>
    <row r="206" spans="3:42" ht="15">
      <c r="C206" s="352"/>
      <c r="D206" s="318"/>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row>
    <row r="207" spans="3:42" ht="15">
      <c r="C207" s="352"/>
      <c r="D207" s="318"/>
      <c r="E207" s="318"/>
      <c r="F207" s="318"/>
      <c r="G207" s="318"/>
      <c r="H207" s="318"/>
      <c r="I207" s="318"/>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8"/>
    </row>
    <row r="208" spans="3:42" ht="15">
      <c r="C208" s="352"/>
      <c r="D208" s="318"/>
      <c r="E208" s="318"/>
      <c r="F208" s="318"/>
      <c r="G208" s="318"/>
      <c r="H208" s="318"/>
      <c r="I208" s="318"/>
      <c r="J208" s="318"/>
      <c r="K208" s="318"/>
      <c r="L208" s="318"/>
      <c r="M208" s="318"/>
      <c r="N208" s="318"/>
      <c r="O208" s="318"/>
      <c r="P208" s="318"/>
      <c r="Q208" s="318"/>
      <c r="R208" s="318"/>
      <c r="S208" s="318"/>
      <c r="T208" s="318"/>
      <c r="U208" s="318"/>
      <c r="V208" s="318"/>
      <c r="W208" s="318"/>
      <c r="X208" s="318"/>
      <c r="Y208" s="318"/>
      <c r="Z208" s="318"/>
      <c r="AA208" s="318"/>
      <c r="AB208" s="318"/>
      <c r="AC208" s="318"/>
      <c r="AD208" s="318"/>
      <c r="AE208" s="318"/>
      <c r="AF208" s="318"/>
      <c r="AG208" s="318"/>
      <c r="AH208" s="318"/>
      <c r="AI208" s="318"/>
      <c r="AJ208" s="318"/>
      <c r="AK208" s="318"/>
      <c r="AL208" s="318"/>
      <c r="AM208" s="318"/>
      <c r="AN208" s="318"/>
      <c r="AO208" s="318"/>
      <c r="AP208" s="318"/>
    </row>
    <row r="209" spans="3:42" ht="15">
      <c r="C209" s="352"/>
      <c r="D209" s="318"/>
      <c r="E209" s="318"/>
      <c r="F209" s="318"/>
      <c r="G209" s="318"/>
      <c r="H209" s="318"/>
      <c r="I209" s="318"/>
      <c r="J209" s="318"/>
      <c r="K209" s="318"/>
      <c r="L209" s="318"/>
      <c r="M209" s="318"/>
      <c r="N209" s="318"/>
      <c r="O209" s="318"/>
      <c r="P209" s="318"/>
      <c r="Q209" s="318"/>
      <c r="R209" s="318"/>
      <c r="S209" s="318"/>
      <c r="T209" s="318"/>
      <c r="U209" s="318"/>
      <c r="V209" s="318"/>
      <c r="W209" s="318"/>
      <c r="X209" s="318"/>
      <c r="Y209" s="318"/>
      <c r="Z209" s="318"/>
      <c r="AA209" s="318"/>
      <c r="AB209" s="318"/>
      <c r="AC209" s="318"/>
      <c r="AD209" s="318"/>
      <c r="AE209" s="318"/>
      <c r="AF209" s="318"/>
      <c r="AG209" s="318"/>
      <c r="AH209" s="318"/>
      <c r="AI209" s="318"/>
      <c r="AJ209" s="318"/>
      <c r="AK209" s="318"/>
      <c r="AL209" s="318"/>
      <c r="AM209" s="318"/>
      <c r="AN209" s="318"/>
      <c r="AO209" s="318"/>
      <c r="AP209" s="318"/>
    </row>
    <row r="210" spans="3:42" ht="15">
      <c r="C210" s="352"/>
      <c r="D210" s="318"/>
      <c r="E210" s="318"/>
      <c r="F210" s="318"/>
      <c r="G210" s="318"/>
      <c r="H210" s="318"/>
      <c r="I210" s="318"/>
      <c r="J210" s="318"/>
      <c r="K210" s="318"/>
      <c r="L210" s="318"/>
      <c r="M210" s="318"/>
      <c r="N210" s="318"/>
      <c r="O210" s="318"/>
      <c r="P210" s="318"/>
      <c r="Q210" s="318"/>
      <c r="R210" s="318"/>
      <c r="S210" s="318"/>
      <c r="T210" s="318"/>
      <c r="U210" s="318"/>
      <c r="V210" s="318"/>
      <c r="W210" s="318"/>
      <c r="X210" s="318"/>
      <c r="Y210" s="318"/>
      <c r="Z210" s="318"/>
      <c r="AA210" s="318"/>
      <c r="AB210" s="318"/>
      <c r="AC210" s="318"/>
      <c r="AD210" s="318"/>
      <c r="AE210" s="318"/>
      <c r="AF210" s="318"/>
      <c r="AG210" s="318"/>
      <c r="AH210" s="318"/>
      <c r="AI210" s="318"/>
      <c r="AJ210" s="318"/>
      <c r="AK210" s="318"/>
      <c r="AL210" s="318"/>
      <c r="AM210" s="318"/>
      <c r="AN210" s="318"/>
      <c r="AO210" s="318"/>
      <c r="AP210" s="318"/>
    </row>
    <row r="211" spans="3:42" ht="15">
      <c r="C211" s="352"/>
      <c r="D211" s="318"/>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8"/>
      <c r="AF211" s="318"/>
      <c r="AG211" s="318"/>
      <c r="AH211" s="318"/>
      <c r="AI211" s="318"/>
      <c r="AJ211" s="318"/>
      <c r="AK211" s="318"/>
      <c r="AL211" s="318"/>
      <c r="AM211" s="318"/>
      <c r="AN211" s="318"/>
      <c r="AO211" s="318"/>
      <c r="AP211" s="318"/>
    </row>
    <row r="212" spans="3:42" ht="15">
      <c r="C212" s="352"/>
      <c r="D212" s="318"/>
      <c r="E212" s="318"/>
      <c r="F212" s="318"/>
      <c r="G212" s="318"/>
      <c r="H212" s="318"/>
      <c r="I212" s="318"/>
      <c r="J212" s="318"/>
      <c r="K212" s="318"/>
      <c r="L212" s="318"/>
      <c r="M212" s="318"/>
      <c r="N212" s="318"/>
      <c r="O212" s="318"/>
      <c r="P212" s="318"/>
      <c r="Q212" s="318"/>
      <c r="R212" s="318"/>
      <c r="S212" s="318"/>
      <c r="T212" s="318"/>
      <c r="U212" s="318"/>
      <c r="V212" s="318"/>
      <c r="W212" s="318"/>
      <c r="X212" s="318"/>
      <c r="Y212" s="318"/>
      <c r="Z212" s="318"/>
      <c r="AA212" s="318"/>
      <c r="AB212" s="318"/>
      <c r="AC212" s="318"/>
      <c r="AD212" s="318"/>
      <c r="AE212" s="318"/>
      <c r="AF212" s="318"/>
      <c r="AG212" s="318"/>
      <c r="AH212" s="318"/>
      <c r="AI212" s="318"/>
      <c r="AJ212" s="318"/>
      <c r="AK212" s="318"/>
      <c r="AL212" s="318"/>
      <c r="AM212" s="318"/>
      <c r="AN212" s="318"/>
      <c r="AO212" s="318"/>
      <c r="AP212" s="318"/>
    </row>
    <row r="213" spans="3:42" ht="15">
      <c r="C213" s="352"/>
      <c r="D213" s="318"/>
      <c r="E213" s="318"/>
      <c r="F213" s="318"/>
      <c r="G213" s="318"/>
      <c r="H213" s="318"/>
      <c r="I213" s="318"/>
      <c r="J213" s="318"/>
      <c r="K213" s="318"/>
      <c r="L213" s="318"/>
      <c r="M213" s="318"/>
      <c r="N213" s="318"/>
      <c r="O213" s="318"/>
      <c r="P213" s="318"/>
      <c r="Q213" s="318"/>
      <c r="R213" s="318"/>
      <c r="S213" s="318"/>
      <c r="T213" s="318"/>
      <c r="U213" s="318"/>
      <c r="V213" s="318"/>
      <c r="W213" s="318"/>
      <c r="X213" s="318"/>
      <c r="Y213" s="318"/>
      <c r="Z213" s="318"/>
      <c r="AA213" s="318"/>
      <c r="AB213" s="318"/>
      <c r="AC213" s="318"/>
      <c r="AD213" s="318"/>
      <c r="AE213" s="318"/>
      <c r="AF213" s="318"/>
      <c r="AG213" s="318"/>
      <c r="AH213" s="318"/>
      <c r="AI213" s="318"/>
      <c r="AJ213" s="318"/>
      <c r="AK213" s="318"/>
      <c r="AL213" s="318"/>
      <c r="AM213" s="318"/>
      <c r="AN213" s="318"/>
      <c r="AO213" s="318"/>
      <c r="AP213" s="318"/>
    </row>
    <row r="214" spans="3:42" ht="15">
      <c r="C214" s="352"/>
      <c r="D214" s="318"/>
      <c r="E214" s="318"/>
      <c r="F214" s="318"/>
      <c r="G214" s="318"/>
      <c r="H214" s="318"/>
      <c r="I214" s="318"/>
      <c r="J214" s="318"/>
      <c r="K214" s="318"/>
      <c r="L214" s="318"/>
      <c r="M214" s="318"/>
      <c r="N214" s="318"/>
      <c r="O214" s="318"/>
      <c r="P214" s="318"/>
      <c r="Q214" s="318"/>
      <c r="R214" s="318"/>
      <c r="S214" s="318"/>
      <c r="T214" s="318"/>
      <c r="U214" s="318"/>
      <c r="V214" s="318"/>
      <c r="W214" s="318"/>
      <c r="X214" s="318"/>
      <c r="Y214" s="318"/>
      <c r="Z214" s="318"/>
      <c r="AA214" s="318"/>
      <c r="AB214" s="318"/>
      <c r="AC214" s="318"/>
      <c r="AD214" s="318"/>
      <c r="AE214" s="318"/>
      <c r="AF214" s="318"/>
      <c r="AG214" s="318"/>
      <c r="AH214" s="318"/>
      <c r="AI214" s="318"/>
      <c r="AJ214" s="318"/>
      <c r="AK214" s="318"/>
      <c r="AL214" s="318"/>
      <c r="AM214" s="318"/>
      <c r="AN214" s="318"/>
      <c r="AO214" s="318"/>
      <c r="AP214" s="318"/>
    </row>
    <row r="215" spans="3:42" ht="15">
      <c r="C215" s="352"/>
      <c r="D215" s="318"/>
      <c r="E215" s="318"/>
      <c r="F215" s="318"/>
      <c r="G215" s="318"/>
      <c r="H215" s="318"/>
      <c r="I215" s="318"/>
      <c r="J215" s="318"/>
      <c r="K215" s="318"/>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c r="AH215" s="318"/>
      <c r="AI215" s="318"/>
      <c r="AJ215" s="318"/>
      <c r="AK215" s="318"/>
      <c r="AL215" s="318"/>
      <c r="AM215" s="318"/>
      <c r="AN215" s="318"/>
      <c r="AO215" s="318"/>
      <c r="AP215" s="318"/>
    </row>
    <row r="216" spans="3:42" ht="15">
      <c r="C216" s="352"/>
      <c r="D216" s="318"/>
      <c r="E216" s="318"/>
      <c r="F216" s="318"/>
      <c r="G216" s="318"/>
      <c r="H216" s="318"/>
      <c r="I216" s="318"/>
      <c r="J216" s="318"/>
      <c r="K216" s="318"/>
      <c r="L216" s="318"/>
      <c r="M216" s="318"/>
      <c r="N216" s="318"/>
      <c r="O216" s="318"/>
      <c r="P216" s="318"/>
      <c r="Q216" s="318"/>
      <c r="R216" s="318"/>
      <c r="S216" s="318"/>
      <c r="T216" s="318"/>
      <c r="U216" s="318"/>
      <c r="V216" s="318"/>
      <c r="W216" s="318"/>
      <c r="X216" s="318"/>
      <c r="Y216" s="318"/>
      <c r="Z216" s="318"/>
      <c r="AA216" s="318"/>
      <c r="AB216" s="318"/>
      <c r="AC216" s="318"/>
      <c r="AD216" s="318"/>
      <c r="AE216" s="318"/>
      <c r="AF216" s="318"/>
      <c r="AG216" s="318"/>
      <c r="AH216" s="318"/>
      <c r="AI216" s="318"/>
      <c r="AJ216" s="318"/>
      <c r="AK216" s="318"/>
      <c r="AL216" s="318"/>
      <c r="AM216" s="318"/>
      <c r="AN216" s="318"/>
      <c r="AO216" s="318"/>
      <c r="AP216" s="318"/>
    </row>
    <row r="217" spans="3:42" ht="15">
      <c r="C217" s="352"/>
      <c r="D217" s="318"/>
      <c r="E217" s="318"/>
      <c r="F217" s="318"/>
      <c r="G217" s="318"/>
      <c r="H217" s="318"/>
      <c r="I217" s="318"/>
      <c r="J217" s="318"/>
      <c r="K217" s="318"/>
      <c r="L217" s="318"/>
      <c r="M217" s="318"/>
      <c r="N217" s="318"/>
      <c r="O217" s="318"/>
      <c r="P217" s="318"/>
      <c r="Q217" s="318"/>
      <c r="R217" s="318"/>
      <c r="S217" s="318"/>
      <c r="T217" s="318"/>
      <c r="U217" s="318"/>
      <c r="V217" s="318"/>
      <c r="W217" s="318"/>
      <c r="X217" s="318"/>
      <c r="Y217" s="318"/>
      <c r="Z217" s="318"/>
      <c r="AA217" s="318"/>
      <c r="AB217" s="318"/>
      <c r="AC217" s="318"/>
      <c r="AD217" s="318"/>
      <c r="AE217" s="318"/>
      <c r="AF217" s="318"/>
      <c r="AG217" s="318"/>
      <c r="AH217" s="318"/>
      <c r="AI217" s="318"/>
      <c r="AJ217" s="318"/>
      <c r="AK217" s="318"/>
      <c r="AL217" s="318"/>
      <c r="AM217" s="318"/>
      <c r="AN217" s="318"/>
      <c r="AO217" s="318"/>
      <c r="AP217" s="318"/>
    </row>
    <row r="218" spans="3:42" ht="15">
      <c r="C218" s="352"/>
      <c r="D218" s="318"/>
      <c r="E218" s="318"/>
      <c r="F218" s="318"/>
      <c r="G218" s="318"/>
      <c r="H218" s="318"/>
      <c r="I218" s="318"/>
      <c r="J218" s="318"/>
      <c r="K218" s="318"/>
      <c r="L218" s="318"/>
      <c r="M218" s="318"/>
      <c r="N218" s="318"/>
      <c r="O218" s="318"/>
      <c r="P218" s="318"/>
      <c r="Q218" s="318"/>
      <c r="R218" s="318"/>
      <c r="S218" s="318"/>
      <c r="T218" s="318"/>
      <c r="U218" s="318"/>
      <c r="V218" s="318"/>
      <c r="W218" s="318"/>
      <c r="X218" s="318"/>
      <c r="Y218" s="318"/>
      <c r="Z218" s="318"/>
      <c r="AA218" s="318"/>
      <c r="AB218" s="318"/>
      <c r="AC218" s="318"/>
      <c r="AD218" s="318"/>
      <c r="AE218" s="318"/>
      <c r="AF218" s="318"/>
      <c r="AG218" s="318"/>
      <c r="AH218" s="318"/>
      <c r="AI218" s="318"/>
      <c r="AJ218" s="318"/>
      <c r="AK218" s="318"/>
      <c r="AL218" s="318"/>
      <c r="AM218" s="318"/>
      <c r="AN218" s="318"/>
      <c r="AO218" s="318"/>
      <c r="AP218" s="318"/>
    </row>
    <row r="219" spans="3:42" ht="15">
      <c r="C219" s="352"/>
      <c r="D219" s="318"/>
      <c r="E219" s="318"/>
      <c r="F219" s="318"/>
      <c r="G219" s="318"/>
      <c r="H219" s="318"/>
      <c r="I219" s="318"/>
      <c r="J219" s="318"/>
      <c r="K219" s="318"/>
      <c r="L219" s="318"/>
      <c r="M219" s="318"/>
      <c r="N219" s="318"/>
      <c r="O219" s="318"/>
      <c r="P219" s="318"/>
      <c r="Q219" s="318"/>
      <c r="R219" s="318"/>
      <c r="S219" s="318"/>
      <c r="T219" s="318"/>
      <c r="U219" s="318"/>
      <c r="V219" s="318"/>
      <c r="W219" s="318"/>
      <c r="X219" s="318"/>
      <c r="Y219" s="318"/>
      <c r="Z219" s="318"/>
      <c r="AA219" s="318"/>
      <c r="AB219" s="318"/>
      <c r="AC219" s="318"/>
      <c r="AD219" s="318"/>
      <c r="AE219" s="318"/>
      <c r="AF219" s="318"/>
      <c r="AG219" s="318"/>
      <c r="AH219" s="318"/>
      <c r="AI219" s="318"/>
      <c r="AJ219" s="318"/>
      <c r="AK219" s="318"/>
      <c r="AL219" s="318"/>
      <c r="AM219" s="318"/>
      <c r="AN219" s="318"/>
      <c r="AO219" s="318"/>
      <c r="AP219" s="318"/>
    </row>
    <row r="220" spans="3:42" ht="15">
      <c r="C220" s="352"/>
      <c r="D220" s="318"/>
      <c r="E220" s="318"/>
      <c r="F220" s="318"/>
      <c r="G220" s="318"/>
      <c r="H220" s="318"/>
      <c r="I220" s="318"/>
      <c r="J220" s="318"/>
      <c r="K220" s="318"/>
      <c r="L220" s="318"/>
      <c r="M220" s="318"/>
      <c r="N220" s="318"/>
      <c r="O220" s="318"/>
      <c r="P220" s="318"/>
      <c r="Q220" s="318"/>
      <c r="R220" s="318"/>
      <c r="S220" s="318"/>
      <c r="T220" s="318"/>
      <c r="U220" s="318"/>
      <c r="V220" s="318"/>
      <c r="W220" s="318"/>
      <c r="X220" s="318"/>
      <c r="Y220" s="318"/>
      <c r="Z220" s="318"/>
      <c r="AA220" s="318"/>
      <c r="AB220" s="318"/>
      <c r="AC220" s="318"/>
      <c r="AD220" s="318"/>
      <c r="AE220" s="318"/>
      <c r="AF220" s="318"/>
      <c r="AG220" s="318"/>
      <c r="AH220" s="318"/>
      <c r="AI220" s="318"/>
      <c r="AJ220" s="318"/>
      <c r="AK220" s="318"/>
      <c r="AL220" s="318"/>
      <c r="AM220" s="318"/>
      <c r="AN220" s="318"/>
      <c r="AO220" s="318"/>
      <c r="AP220" s="318"/>
    </row>
    <row r="221" spans="3:42" ht="15">
      <c r="C221" s="352"/>
      <c r="D221" s="318"/>
      <c r="E221" s="318"/>
      <c r="F221" s="318"/>
      <c r="G221" s="318"/>
      <c r="H221" s="318"/>
      <c r="I221" s="318"/>
      <c r="J221" s="318"/>
      <c r="K221" s="318"/>
      <c r="L221" s="318"/>
      <c r="M221" s="318"/>
      <c r="N221" s="318"/>
      <c r="O221" s="318"/>
      <c r="P221" s="318"/>
      <c r="Q221" s="318"/>
      <c r="R221" s="318"/>
      <c r="S221" s="318"/>
      <c r="T221" s="318"/>
      <c r="U221" s="318"/>
      <c r="V221" s="318"/>
      <c r="W221" s="318"/>
      <c r="X221" s="318"/>
      <c r="Y221" s="318"/>
      <c r="Z221" s="318"/>
      <c r="AA221" s="318"/>
      <c r="AB221" s="318"/>
      <c r="AC221" s="318"/>
      <c r="AD221" s="318"/>
      <c r="AE221" s="318"/>
      <c r="AF221" s="318"/>
      <c r="AG221" s="318"/>
      <c r="AH221" s="318"/>
      <c r="AI221" s="318"/>
      <c r="AJ221" s="318"/>
      <c r="AK221" s="318"/>
      <c r="AL221" s="318"/>
      <c r="AM221" s="318"/>
      <c r="AN221" s="318"/>
      <c r="AO221" s="318"/>
      <c r="AP221" s="318"/>
    </row>
    <row r="222" spans="3:42" ht="15">
      <c r="C222" s="352"/>
      <c r="D222" s="318"/>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row>
    <row r="223" spans="3:42" ht="15">
      <c r="C223" s="352"/>
      <c r="D223" s="318"/>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8"/>
      <c r="AB223" s="318"/>
      <c r="AC223" s="318"/>
      <c r="AD223" s="318"/>
      <c r="AE223" s="318"/>
      <c r="AF223" s="318"/>
      <c r="AG223" s="318"/>
      <c r="AH223" s="318"/>
      <c r="AI223" s="318"/>
      <c r="AJ223" s="318"/>
      <c r="AK223" s="318"/>
      <c r="AL223" s="318"/>
      <c r="AM223" s="318"/>
      <c r="AN223" s="318"/>
      <c r="AO223" s="318"/>
      <c r="AP223" s="318"/>
    </row>
    <row r="224" spans="3:42" ht="15">
      <c r="C224" s="352"/>
      <c r="D224" s="318"/>
      <c r="E224" s="318"/>
      <c r="F224" s="318"/>
      <c r="G224" s="318"/>
      <c r="H224" s="318"/>
      <c r="I224" s="318"/>
      <c r="J224" s="318"/>
      <c r="K224" s="318"/>
      <c r="L224" s="318"/>
      <c r="M224" s="318"/>
      <c r="N224" s="318"/>
      <c r="O224" s="318"/>
      <c r="P224" s="318"/>
      <c r="Q224" s="318"/>
      <c r="R224" s="318"/>
      <c r="S224" s="318"/>
      <c r="T224" s="318"/>
      <c r="U224" s="318"/>
      <c r="V224" s="318"/>
      <c r="W224" s="318"/>
      <c r="X224" s="318"/>
      <c r="Y224" s="318"/>
      <c r="Z224" s="318"/>
      <c r="AA224" s="318"/>
      <c r="AB224" s="318"/>
      <c r="AC224" s="318"/>
      <c r="AD224" s="318"/>
      <c r="AE224" s="318"/>
      <c r="AF224" s="318"/>
      <c r="AG224" s="318"/>
      <c r="AH224" s="318"/>
      <c r="AI224" s="318"/>
      <c r="AJ224" s="318"/>
      <c r="AK224" s="318"/>
      <c r="AL224" s="318"/>
      <c r="AM224" s="318"/>
      <c r="AN224" s="318"/>
      <c r="AO224" s="318"/>
      <c r="AP224" s="318"/>
    </row>
    <row r="225" spans="3:42" ht="15">
      <c r="C225" s="352"/>
      <c r="D225" s="318"/>
      <c r="E225" s="318"/>
      <c r="F225" s="318"/>
      <c r="G225" s="318"/>
      <c r="H225" s="318"/>
      <c r="I225" s="318"/>
      <c r="J225" s="318"/>
      <c r="K225" s="318"/>
      <c r="L225" s="318"/>
      <c r="M225" s="318"/>
      <c r="N225" s="318"/>
      <c r="O225" s="318"/>
      <c r="P225" s="318"/>
      <c r="Q225" s="318"/>
      <c r="R225" s="318"/>
      <c r="S225" s="318"/>
      <c r="T225" s="318"/>
      <c r="U225" s="318"/>
      <c r="V225" s="318"/>
      <c r="W225" s="318"/>
      <c r="X225" s="318"/>
      <c r="Y225" s="318"/>
      <c r="Z225" s="318"/>
      <c r="AA225" s="318"/>
      <c r="AB225" s="318"/>
      <c r="AC225" s="318"/>
      <c r="AD225" s="318"/>
      <c r="AE225" s="318"/>
      <c r="AF225" s="318"/>
      <c r="AG225" s="318"/>
      <c r="AH225" s="318"/>
      <c r="AI225" s="318"/>
      <c r="AJ225" s="318"/>
      <c r="AK225" s="318"/>
      <c r="AL225" s="318"/>
      <c r="AM225" s="318"/>
      <c r="AN225" s="318"/>
      <c r="AO225" s="318"/>
      <c r="AP225" s="318"/>
    </row>
    <row r="226" spans="3:42" ht="15">
      <c r="C226" s="352"/>
      <c r="D226" s="318"/>
      <c r="E226" s="318"/>
      <c r="F226" s="318"/>
      <c r="G226" s="318"/>
      <c r="H226" s="318"/>
      <c r="I226" s="318"/>
      <c r="J226" s="318"/>
      <c r="K226" s="318"/>
      <c r="L226" s="318"/>
      <c r="M226" s="318"/>
      <c r="N226" s="318"/>
      <c r="O226" s="318"/>
      <c r="P226" s="318"/>
      <c r="Q226" s="318"/>
      <c r="R226" s="318"/>
      <c r="S226" s="318"/>
      <c r="T226" s="318"/>
      <c r="U226" s="318"/>
      <c r="V226" s="318"/>
      <c r="W226" s="318"/>
      <c r="X226" s="318"/>
      <c r="Y226" s="318"/>
      <c r="Z226" s="318"/>
      <c r="AA226" s="318"/>
      <c r="AB226" s="318"/>
      <c r="AC226" s="318"/>
      <c r="AD226" s="318"/>
      <c r="AE226" s="318"/>
      <c r="AF226" s="318"/>
      <c r="AG226" s="318"/>
      <c r="AH226" s="318"/>
      <c r="AI226" s="318"/>
      <c r="AJ226" s="318"/>
      <c r="AK226" s="318"/>
      <c r="AL226" s="318"/>
      <c r="AM226" s="318"/>
      <c r="AN226" s="318"/>
      <c r="AO226" s="318"/>
      <c r="AP226" s="318"/>
    </row>
    <row r="227" spans="3:42" ht="15">
      <c r="C227" s="352"/>
      <c r="D227" s="318"/>
      <c r="E227" s="318"/>
      <c r="F227" s="318"/>
      <c r="G227" s="318"/>
      <c r="H227" s="318"/>
      <c r="I227" s="318"/>
      <c r="J227" s="318"/>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c r="AJ227" s="318"/>
      <c r="AK227" s="318"/>
      <c r="AL227" s="318"/>
      <c r="AM227" s="318"/>
      <c r="AN227" s="318"/>
      <c r="AO227" s="318"/>
      <c r="AP227" s="318"/>
    </row>
    <row r="228" spans="3:42" ht="15">
      <c r="C228" s="352"/>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318"/>
      <c r="Z228" s="318"/>
      <c r="AA228" s="318"/>
      <c r="AB228" s="318"/>
      <c r="AC228" s="318"/>
      <c r="AD228" s="318"/>
      <c r="AE228" s="318"/>
      <c r="AF228" s="318"/>
      <c r="AG228" s="318"/>
      <c r="AH228" s="318"/>
      <c r="AI228" s="318"/>
      <c r="AJ228" s="318"/>
      <c r="AK228" s="318"/>
      <c r="AL228" s="318"/>
      <c r="AM228" s="318"/>
      <c r="AN228" s="318"/>
      <c r="AO228" s="318"/>
      <c r="AP228" s="318"/>
    </row>
    <row r="229" spans="3:42" ht="15">
      <c r="C229" s="352"/>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318"/>
      <c r="Z229" s="318"/>
      <c r="AA229" s="318"/>
      <c r="AB229" s="318"/>
      <c r="AC229" s="318"/>
      <c r="AD229" s="318"/>
      <c r="AE229" s="318"/>
      <c r="AF229" s="318"/>
      <c r="AG229" s="318"/>
      <c r="AH229" s="318"/>
      <c r="AI229" s="318"/>
      <c r="AJ229" s="318"/>
      <c r="AK229" s="318"/>
      <c r="AL229" s="318"/>
      <c r="AM229" s="318"/>
      <c r="AN229" s="318"/>
      <c r="AO229" s="318"/>
      <c r="AP229" s="318"/>
    </row>
    <row r="230" spans="3:42" ht="15">
      <c r="C230" s="352"/>
      <c r="D230" s="318"/>
      <c r="E230" s="318"/>
      <c r="F230" s="318"/>
      <c r="G230" s="318"/>
      <c r="H230" s="318"/>
      <c r="I230" s="318"/>
      <c r="J230" s="318"/>
      <c r="K230" s="318"/>
      <c r="L230" s="318"/>
      <c r="M230" s="318"/>
      <c r="N230" s="318"/>
      <c r="O230" s="318"/>
      <c r="P230" s="318"/>
      <c r="Q230" s="318"/>
      <c r="R230" s="318"/>
      <c r="S230" s="318"/>
      <c r="T230" s="318"/>
      <c r="U230" s="318"/>
      <c r="V230" s="318"/>
      <c r="W230" s="318"/>
      <c r="X230" s="318"/>
      <c r="Y230" s="318"/>
      <c r="Z230" s="318"/>
      <c r="AA230" s="318"/>
      <c r="AB230" s="318"/>
      <c r="AC230" s="318"/>
      <c r="AD230" s="318"/>
      <c r="AE230" s="318"/>
      <c r="AF230" s="318"/>
      <c r="AG230" s="318"/>
      <c r="AH230" s="318"/>
      <c r="AI230" s="318"/>
      <c r="AJ230" s="318"/>
      <c r="AK230" s="318"/>
      <c r="AL230" s="318"/>
      <c r="AM230" s="318"/>
      <c r="AN230" s="318"/>
      <c r="AO230" s="318"/>
      <c r="AP230" s="318"/>
    </row>
    <row r="231" spans="3:42" ht="15">
      <c r="C231" s="352"/>
      <c r="D231" s="318"/>
      <c r="E231" s="318"/>
      <c r="F231" s="318"/>
      <c r="G231" s="318"/>
      <c r="H231" s="318"/>
      <c r="I231" s="318"/>
      <c r="J231" s="318"/>
      <c r="K231" s="318"/>
      <c r="L231" s="318"/>
      <c r="M231" s="318"/>
      <c r="N231" s="318"/>
      <c r="O231" s="318"/>
      <c r="P231" s="318"/>
      <c r="Q231" s="318"/>
      <c r="R231" s="318"/>
      <c r="S231" s="318"/>
      <c r="T231" s="318"/>
      <c r="U231" s="318"/>
      <c r="V231" s="318"/>
      <c r="W231" s="318"/>
      <c r="X231" s="318"/>
      <c r="Y231" s="318"/>
      <c r="Z231" s="318"/>
      <c r="AA231" s="318"/>
      <c r="AB231" s="318"/>
      <c r="AC231" s="318"/>
      <c r="AD231" s="318"/>
      <c r="AE231" s="318"/>
      <c r="AF231" s="318"/>
      <c r="AG231" s="318"/>
      <c r="AH231" s="318"/>
      <c r="AI231" s="318"/>
      <c r="AJ231" s="318"/>
      <c r="AK231" s="318"/>
      <c r="AL231" s="318"/>
      <c r="AM231" s="318"/>
      <c r="AN231" s="318"/>
      <c r="AO231" s="318"/>
      <c r="AP231" s="318"/>
    </row>
    <row r="232" spans="3:42" ht="15">
      <c r="C232" s="352"/>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318"/>
      <c r="Z232" s="318"/>
      <c r="AA232" s="318"/>
      <c r="AB232" s="318"/>
      <c r="AC232" s="318"/>
      <c r="AD232" s="318"/>
      <c r="AE232" s="318"/>
      <c r="AF232" s="318"/>
      <c r="AG232" s="318"/>
      <c r="AH232" s="318"/>
      <c r="AI232" s="318"/>
      <c r="AJ232" s="318"/>
      <c r="AK232" s="318"/>
      <c r="AL232" s="318"/>
      <c r="AM232" s="318"/>
      <c r="AN232" s="318"/>
      <c r="AO232" s="318"/>
      <c r="AP232" s="318"/>
    </row>
    <row r="233" spans="3:42" ht="15">
      <c r="C233" s="352"/>
      <c r="D233" s="318"/>
      <c r="E233" s="318"/>
      <c r="F233" s="318"/>
      <c r="G233" s="318"/>
      <c r="H233" s="318"/>
      <c r="I233" s="318"/>
      <c r="J233" s="318"/>
      <c r="K233" s="318"/>
      <c r="L233" s="318"/>
      <c r="M233" s="318"/>
      <c r="N233" s="318"/>
      <c r="O233" s="318"/>
      <c r="P233" s="318"/>
      <c r="Q233" s="318"/>
      <c r="R233" s="318"/>
      <c r="S233" s="318"/>
      <c r="T233" s="318"/>
      <c r="U233" s="318"/>
      <c r="V233" s="318"/>
      <c r="W233" s="318"/>
      <c r="X233" s="318"/>
      <c r="Y233" s="318"/>
      <c r="Z233" s="318"/>
      <c r="AA233" s="318"/>
      <c r="AB233" s="318"/>
      <c r="AC233" s="318"/>
      <c r="AD233" s="318"/>
      <c r="AE233" s="318"/>
      <c r="AF233" s="318"/>
      <c r="AG233" s="318"/>
      <c r="AH233" s="318"/>
      <c r="AI233" s="318"/>
      <c r="AJ233" s="318"/>
      <c r="AK233" s="318"/>
      <c r="AL233" s="318"/>
      <c r="AM233" s="318"/>
      <c r="AN233" s="318"/>
      <c r="AO233" s="318"/>
      <c r="AP233" s="318"/>
    </row>
    <row r="234" spans="3:42" ht="15">
      <c r="C234" s="352"/>
      <c r="D234" s="318"/>
      <c r="E234" s="318"/>
      <c r="F234" s="318"/>
      <c r="G234" s="318"/>
      <c r="H234" s="318"/>
      <c r="I234" s="318"/>
      <c r="J234" s="318"/>
      <c r="K234" s="318"/>
      <c r="L234" s="318"/>
      <c r="M234" s="318"/>
      <c r="N234" s="318"/>
      <c r="O234" s="318"/>
      <c r="P234" s="318"/>
      <c r="Q234" s="318"/>
      <c r="R234" s="318"/>
      <c r="S234" s="318"/>
      <c r="T234" s="318"/>
      <c r="U234" s="318"/>
      <c r="V234" s="318"/>
      <c r="W234" s="318"/>
      <c r="X234" s="318"/>
      <c r="Y234" s="318"/>
      <c r="Z234" s="318"/>
      <c r="AA234" s="318"/>
      <c r="AB234" s="318"/>
      <c r="AC234" s="318"/>
      <c r="AD234" s="318"/>
      <c r="AE234" s="318"/>
      <c r="AF234" s="318"/>
      <c r="AG234" s="318"/>
      <c r="AH234" s="318"/>
      <c r="AI234" s="318"/>
      <c r="AJ234" s="318"/>
      <c r="AK234" s="318"/>
      <c r="AL234" s="318"/>
      <c r="AM234" s="318"/>
      <c r="AN234" s="318"/>
      <c r="AO234" s="318"/>
      <c r="AP234" s="318"/>
    </row>
    <row r="235" spans="3:42" ht="15">
      <c r="C235" s="352"/>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c r="AH235" s="318"/>
      <c r="AI235" s="318"/>
      <c r="AJ235" s="318"/>
      <c r="AK235" s="318"/>
      <c r="AL235" s="318"/>
      <c r="AM235" s="318"/>
      <c r="AN235" s="318"/>
      <c r="AO235" s="318"/>
      <c r="AP235" s="318"/>
    </row>
    <row r="236" spans="3:42" ht="15">
      <c r="C236" s="352"/>
      <c r="D236" s="318"/>
      <c r="E236" s="318"/>
      <c r="F236" s="318"/>
      <c r="G236" s="318"/>
      <c r="H236" s="318"/>
      <c r="I236" s="318"/>
      <c r="J236" s="318"/>
      <c r="K236" s="318"/>
      <c r="L236" s="318"/>
      <c r="M236" s="318"/>
      <c r="N236" s="318"/>
      <c r="O236" s="318"/>
      <c r="P236" s="318"/>
      <c r="Q236" s="318"/>
      <c r="R236" s="318"/>
      <c r="S236" s="318"/>
      <c r="T236" s="318"/>
      <c r="U236" s="318"/>
      <c r="V236" s="318"/>
      <c r="W236" s="318"/>
      <c r="X236" s="318"/>
      <c r="Y236" s="318"/>
      <c r="Z236" s="318"/>
      <c r="AA236" s="318"/>
      <c r="AB236" s="318"/>
      <c r="AC236" s="318"/>
      <c r="AD236" s="318"/>
      <c r="AE236" s="318"/>
      <c r="AF236" s="318"/>
      <c r="AG236" s="318"/>
      <c r="AH236" s="318"/>
      <c r="AI236" s="318"/>
      <c r="AJ236" s="318"/>
      <c r="AK236" s="318"/>
      <c r="AL236" s="318"/>
      <c r="AM236" s="318"/>
      <c r="AN236" s="318"/>
      <c r="AO236" s="318"/>
      <c r="AP236" s="318"/>
    </row>
    <row r="237" spans="3:42" ht="15">
      <c r="C237" s="352"/>
      <c r="D237" s="318"/>
      <c r="E237" s="318"/>
      <c r="F237" s="318"/>
      <c r="G237" s="318"/>
      <c r="H237" s="318"/>
      <c r="I237" s="318"/>
      <c r="J237" s="318"/>
      <c r="K237" s="318"/>
      <c r="L237" s="318"/>
      <c r="M237" s="318"/>
      <c r="N237" s="318"/>
      <c r="O237" s="318"/>
      <c r="P237" s="318"/>
      <c r="Q237" s="318"/>
      <c r="R237" s="318"/>
      <c r="S237" s="318"/>
      <c r="T237" s="318"/>
      <c r="U237" s="318"/>
      <c r="V237" s="318"/>
      <c r="W237" s="318"/>
      <c r="X237" s="318"/>
      <c r="Y237" s="318"/>
      <c r="Z237" s="318"/>
      <c r="AA237" s="318"/>
      <c r="AB237" s="318"/>
      <c r="AC237" s="318"/>
      <c r="AD237" s="318"/>
      <c r="AE237" s="318"/>
      <c r="AF237" s="318"/>
      <c r="AG237" s="318"/>
      <c r="AH237" s="318"/>
      <c r="AI237" s="318"/>
      <c r="AJ237" s="318"/>
      <c r="AK237" s="318"/>
      <c r="AL237" s="318"/>
      <c r="AM237" s="318"/>
      <c r="AN237" s="318"/>
      <c r="AO237" s="318"/>
      <c r="AP237" s="318"/>
    </row>
    <row r="238" spans="3:42" ht="15">
      <c r="C238" s="352"/>
      <c r="D238" s="318"/>
      <c r="E238" s="318"/>
      <c r="F238" s="318"/>
      <c r="G238" s="318"/>
      <c r="H238" s="318"/>
      <c r="I238" s="318"/>
      <c r="J238" s="318"/>
      <c r="K238" s="318"/>
      <c r="L238" s="318"/>
      <c r="M238" s="318"/>
      <c r="N238" s="318"/>
      <c r="O238" s="318"/>
      <c r="P238" s="318"/>
      <c r="Q238" s="318"/>
      <c r="R238" s="318"/>
      <c r="S238" s="318"/>
      <c r="T238" s="318"/>
      <c r="U238" s="318"/>
      <c r="V238" s="318"/>
      <c r="W238" s="318"/>
      <c r="X238" s="318"/>
      <c r="Y238" s="318"/>
      <c r="Z238" s="318"/>
      <c r="AA238" s="318"/>
      <c r="AB238" s="318"/>
      <c r="AC238" s="318"/>
      <c r="AD238" s="318"/>
      <c r="AE238" s="318"/>
      <c r="AF238" s="318"/>
      <c r="AG238" s="318"/>
      <c r="AH238" s="318"/>
      <c r="AI238" s="318"/>
      <c r="AJ238" s="318"/>
      <c r="AK238" s="318"/>
      <c r="AL238" s="318"/>
      <c r="AM238" s="318"/>
      <c r="AN238" s="318"/>
      <c r="AO238" s="318"/>
      <c r="AP238" s="318"/>
    </row>
    <row r="239" spans="3:42" ht="15">
      <c r="C239" s="352"/>
      <c r="D239" s="318"/>
      <c r="E239" s="318"/>
      <c r="F239" s="318"/>
      <c r="G239" s="318"/>
      <c r="H239" s="318"/>
      <c r="I239" s="318"/>
      <c r="J239" s="318"/>
      <c r="K239" s="318"/>
      <c r="L239" s="318"/>
      <c r="M239" s="318"/>
      <c r="N239" s="318"/>
      <c r="O239" s="318"/>
      <c r="P239" s="318"/>
      <c r="Q239" s="318"/>
      <c r="R239" s="318"/>
      <c r="S239" s="318"/>
      <c r="T239" s="318"/>
      <c r="U239" s="318"/>
      <c r="V239" s="318"/>
      <c r="W239" s="318"/>
      <c r="X239" s="318"/>
      <c r="Y239" s="318"/>
      <c r="Z239" s="318"/>
      <c r="AA239" s="318"/>
      <c r="AB239" s="318"/>
      <c r="AC239" s="318"/>
      <c r="AD239" s="318"/>
      <c r="AE239" s="318"/>
      <c r="AF239" s="318"/>
      <c r="AG239" s="318"/>
      <c r="AH239" s="318"/>
      <c r="AI239" s="318"/>
      <c r="AJ239" s="318"/>
      <c r="AK239" s="318"/>
      <c r="AL239" s="318"/>
      <c r="AM239" s="318"/>
      <c r="AN239" s="318"/>
      <c r="AO239" s="318"/>
      <c r="AP239" s="318"/>
    </row>
    <row r="240" spans="3:42" ht="15">
      <c r="C240" s="352"/>
      <c r="D240" s="318"/>
      <c r="E240" s="318"/>
      <c r="F240" s="318"/>
      <c r="G240" s="318"/>
      <c r="H240" s="318"/>
      <c r="I240" s="318"/>
      <c r="J240" s="318"/>
      <c r="K240" s="318"/>
      <c r="L240" s="318"/>
      <c r="M240" s="318"/>
      <c r="N240" s="318"/>
      <c r="O240" s="318"/>
      <c r="P240" s="318"/>
      <c r="Q240" s="318"/>
      <c r="R240" s="318"/>
      <c r="S240" s="318"/>
      <c r="T240" s="318"/>
      <c r="U240" s="318"/>
      <c r="V240" s="318"/>
      <c r="W240" s="318"/>
      <c r="X240" s="318"/>
      <c r="Y240" s="318"/>
      <c r="Z240" s="318"/>
      <c r="AA240" s="318"/>
      <c r="AB240" s="318"/>
      <c r="AC240" s="318"/>
      <c r="AD240" s="318"/>
      <c r="AE240" s="318"/>
      <c r="AF240" s="318"/>
      <c r="AG240" s="318"/>
      <c r="AH240" s="318"/>
      <c r="AI240" s="318"/>
      <c r="AJ240" s="318"/>
      <c r="AK240" s="318"/>
      <c r="AL240" s="318"/>
      <c r="AM240" s="318"/>
      <c r="AN240" s="318"/>
      <c r="AO240" s="318"/>
      <c r="AP240" s="318"/>
    </row>
    <row r="241" spans="3:42" ht="15">
      <c r="C241" s="352"/>
      <c r="D241" s="318"/>
      <c r="E241" s="318"/>
      <c r="F241" s="318"/>
      <c r="G241" s="318"/>
      <c r="H241" s="318"/>
      <c r="I241" s="318"/>
      <c r="J241" s="318"/>
      <c r="K241" s="318"/>
      <c r="L241" s="318"/>
      <c r="M241" s="318"/>
      <c r="N241" s="318"/>
      <c r="O241" s="318"/>
      <c r="P241" s="318"/>
      <c r="Q241" s="318"/>
      <c r="R241" s="318"/>
      <c r="S241" s="318"/>
      <c r="T241" s="318"/>
      <c r="U241" s="318"/>
      <c r="V241" s="318"/>
      <c r="W241" s="318"/>
      <c r="X241" s="318"/>
      <c r="Y241" s="318"/>
      <c r="Z241" s="318"/>
      <c r="AA241" s="318"/>
      <c r="AB241" s="318"/>
      <c r="AC241" s="318"/>
      <c r="AD241" s="318"/>
      <c r="AE241" s="318"/>
      <c r="AF241" s="318"/>
      <c r="AG241" s="318"/>
      <c r="AH241" s="318"/>
      <c r="AI241" s="318"/>
      <c r="AJ241" s="318"/>
      <c r="AK241" s="318"/>
      <c r="AL241" s="318"/>
      <c r="AM241" s="318"/>
      <c r="AN241" s="318"/>
      <c r="AO241" s="318"/>
      <c r="AP241" s="318"/>
    </row>
    <row r="242" spans="3:42" ht="15">
      <c r="C242" s="352"/>
      <c r="D242" s="318"/>
      <c r="E242" s="318"/>
      <c r="F242" s="318"/>
      <c r="G242" s="318"/>
      <c r="H242" s="318"/>
      <c r="I242" s="318"/>
      <c r="J242" s="318"/>
      <c r="K242" s="318"/>
      <c r="L242" s="318"/>
      <c r="M242" s="318"/>
      <c r="N242" s="318"/>
      <c r="O242" s="318"/>
      <c r="P242" s="318"/>
      <c r="Q242" s="318"/>
      <c r="R242" s="318"/>
      <c r="S242" s="318"/>
      <c r="T242" s="318"/>
      <c r="U242" s="318"/>
      <c r="V242" s="318"/>
      <c r="W242" s="318"/>
      <c r="X242" s="318"/>
      <c r="Y242" s="318"/>
      <c r="Z242" s="318"/>
      <c r="AA242" s="318"/>
      <c r="AB242" s="318"/>
      <c r="AC242" s="318"/>
      <c r="AD242" s="318"/>
      <c r="AE242" s="318"/>
      <c r="AF242" s="318"/>
      <c r="AG242" s="318"/>
      <c r="AH242" s="318"/>
      <c r="AI242" s="318"/>
      <c r="AJ242" s="318"/>
      <c r="AK242" s="318"/>
      <c r="AL242" s="318"/>
      <c r="AM242" s="318"/>
      <c r="AN242" s="318"/>
      <c r="AO242" s="318"/>
      <c r="AP242" s="318"/>
    </row>
    <row r="243" spans="3:42" ht="15">
      <c r="C243" s="352"/>
      <c r="D243" s="318"/>
      <c r="E243" s="318"/>
      <c r="F243" s="318"/>
      <c r="G243" s="318"/>
      <c r="H243" s="318"/>
      <c r="I243" s="318"/>
      <c r="J243" s="318"/>
      <c r="K243" s="318"/>
      <c r="L243" s="318"/>
      <c r="M243" s="318"/>
      <c r="N243" s="318"/>
      <c r="O243" s="318"/>
      <c r="P243" s="318"/>
      <c r="Q243" s="318"/>
      <c r="R243" s="318"/>
      <c r="S243" s="318"/>
      <c r="T243" s="318"/>
      <c r="U243" s="318"/>
      <c r="V243" s="318"/>
      <c r="W243" s="318"/>
      <c r="X243" s="318"/>
      <c r="Y243" s="318"/>
      <c r="Z243" s="318"/>
      <c r="AA243" s="318"/>
      <c r="AB243" s="318"/>
      <c r="AC243" s="318"/>
      <c r="AD243" s="318"/>
      <c r="AE243" s="318"/>
      <c r="AF243" s="318"/>
      <c r="AG243" s="318"/>
      <c r="AH243" s="318"/>
      <c r="AI243" s="318"/>
      <c r="AJ243" s="318"/>
      <c r="AK243" s="318"/>
      <c r="AL243" s="318"/>
      <c r="AM243" s="318"/>
      <c r="AN243" s="318"/>
      <c r="AO243" s="318"/>
      <c r="AP243" s="318"/>
    </row>
    <row r="244" spans="3:42" ht="15">
      <c r="C244" s="352"/>
      <c r="D244" s="318"/>
      <c r="E244" s="318"/>
      <c r="F244" s="318"/>
      <c r="G244" s="318"/>
      <c r="H244" s="318"/>
      <c r="I244" s="318"/>
      <c r="J244" s="318"/>
      <c r="K244" s="318"/>
      <c r="L244" s="318"/>
      <c r="M244" s="318"/>
      <c r="N244" s="318"/>
      <c r="O244" s="318"/>
      <c r="P244" s="318"/>
      <c r="Q244" s="318"/>
      <c r="R244" s="318"/>
      <c r="S244" s="318"/>
      <c r="T244" s="318"/>
      <c r="U244" s="318"/>
      <c r="V244" s="318"/>
      <c r="W244" s="318"/>
      <c r="X244" s="318"/>
      <c r="Y244" s="318"/>
      <c r="Z244" s="318"/>
      <c r="AA244" s="318"/>
      <c r="AB244" s="318"/>
      <c r="AC244" s="318"/>
      <c r="AD244" s="318"/>
      <c r="AE244" s="318"/>
      <c r="AF244" s="318"/>
      <c r="AG244" s="318"/>
      <c r="AH244" s="318"/>
      <c r="AI244" s="318"/>
      <c r="AJ244" s="318"/>
      <c r="AK244" s="318"/>
      <c r="AL244" s="318"/>
      <c r="AM244" s="318"/>
      <c r="AN244" s="318"/>
      <c r="AO244" s="318"/>
      <c r="AP244" s="318"/>
    </row>
    <row r="245" spans="3:42" ht="15">
      <c r="C245" s="352"/>
      <c r="D245" s="318"/>
      <c r="E245" s="318"/>
      <c r="F245" s="318"/>
      <c r="G245" s="318"/>
      <c r="H245" s="318"/>
      <c r="I245" s="318"/>
      <c r="J245" s="318"/>
      <c r="K245" s="318"/>
      <c r="L245" s="318"/>
      <c r="M245" s="318"/>
      <c r="N245" s="318"/>
      <c r="O245" s="318"/>
      <c r="P245" s="318"/>
      <c r="Q245" s="318"/>
      <c r="R245" s="318"/>
      <c r="S245" s="318"/>
      <c r="T245" s="318"/>
      <c r="U245" s="318"/>
      <c r="V245" s="318"/>
      <c r="W245" s="318"/>
      <c r="X245" s="318"/>
      <c r="Y245" s="318"/>
      <c r="Z245" s="318"/>
      <c r="AA245" s="318"/>
      <c r="AB245" s="318"/>
      <c r="AC245" s="318"/>
      <c r="AD245" s="318"/>
      <c r="AE245" s="318"/>
      <c r="AF245" s="318"/>
      <c r="AG245" s="318"/>
      <c r="AH245" s="318"/>
      <c r="AI245" s="318"/>
      <c r="AJ245" s="318"/>
      <c r="AK245" s="318"/>
      <c r="AL245" s="318"/>
      <c r="AM245" s="318"/>
      <c r="AN245" s="318"/>
      <c r="AO245" s="318"/>
      <c r="AP245" s="318"/>
    </row>
    <row r="246" spans="3:42" ht="15">
      <c r="C246" s="352"/>
      <c r="D246" s="318"/>
      <c r="E246" s="318"/>
      <c r="F246" s="318"/>
      <c r="G246" s="318"/>
      <c r="H246" s="318"/>
      <c r="I246" s="318"/>
      <c r="J246" s="318"/>
      <c r="K246" s="318"/>
      <c r="L246" s="318"/>
      <c r="M246" s="318"/>
      <c r="N246" s="318"/>
      <c r="O246" s="318"/>
      <c r="P246" s="318"/>
      <c r="Q246" s="318"/>
      <c r="R246" s="318"/>
      <c r="S246" s="318"/>
      <c r="T246" s="318"/>
      <c r="U246" s="318"/>
      <c r="V246" s="318"/>
      <c r="W246" s="318"/>
      <c r="X246" s="318"/>
      <c r="Y246" s="318"/>
      <c r="Z246" s="318"/>
      <c r="AA246" s="318"/>
      <c r="AB246" s="318"/>
      <c r="AC246" s="318"/>
      <c r="AD246" s="318"/>
      <c r="AE246" s="318"/>
      <c r="AF246" s="318"/>
      <c r="AG246" s="318"/>
      <c r="AH246" s="318"/>
      <c r="AI246" s="318"/>
      <c r="AJ246" s="318"/>
      <c r="AK246" s="318"/>
      <c r="AL246" s="318"/>
      <c r="AM246" s="318"/>
      <c r="AN246" s="318"/>
      <c r="AO246" s="318"/>
      <c r="AP246" s="318"/>
    </row>
    <row r="247" spans="3:42" ht="15">
      <c r="C247" s="352"/>
      <c r="D247" s="318"/>
      <c r="E247" s="318"/>
      <c r="F247" s="318"/>
      <c r="G247" s="318"/>
      <c r="H247" s="318"/>
      <c r="I247" s="318"/>
      <c r="J247" s="318"/>
      <c r="K247" s="318"/>
      <c r="L247" s="318"/>
      <c r="M247" s="318"/>
      <c r="N247" s="318"/>
      <c r="O247" s="318"/>
      <c r="P247" s="318"/>
      <c r="Q247" s="318"/>
      <c r="R247" s="318"/>
      <c r="S247" s="318"/>
      <c r="T247" s="318"/>
      <c r="U247" s="318"/>
      <c r="V247" s="318"/>
      <c r="W247" s="318"/>
      <c r="X247" s="318"/>
      <c r="Y247" s="318"/>
      <c r="Z247" s="318"/>
      <c r="AA247" s="318"/>
      <c r="AB247" s="318"/>
      <c r="AC247" s="318"/>
      <c r="AD247" s="318"/>
      <c r="AE247" s="318"/>
      <c r="AF247" s="318"/>
      <c r="AG247" s="318"/>
      <c r="AH247" s="318"/>
      <c r="AI247" s="318"/>
      <c r="AJ247" s="318"/>
      <c r="AK247" s="318"/>
      <c r="AL247" s="318"/>
      <c r="AM247" s="318"/>
      <c r="AN247" s="318"/>
      <c r="AO247" s="318"/>
      <c r="AP247" s="318"/>
    </row>
    <row r="248" spans="3:42" ht="15">
      <c r="C248" s="352"/>
      <c r="D248" s="318"/>
      <c r="E248" s="318"/>
      <c r="F248" s="318"/>
      <c r="G248" s="318"/>
      <c r="H248" s="318"/>
      <c r="I248" s="318"/>
      <c r="J248" s="318"/>
      <c r="K248" s="318"/>
      <c r="L248" s="318"/>
      <c r="M248" s="318"/>
      <c r="N248" s="318"/>
      <c r="O248" s="318"/>
      <c r="P248" s="318"/>
      <c r="Q248" s="318"/>
      <c r="R248" s="318"/>
      <c r="S248" s="318"/>
      <c r="T248" s="318"/>
      <c r="U248" s="318"/>
      <c r="V248" s="318"/>
      <c r="W248" s="318"/>
      <c r="X248" s="318"/>
      <c r="Y248" s="318"/>
      <c r="Z248" s="318"/>
      <c r="AA248" s="318"/>
      <c r="AB248" s="318"/>
      <c r="AC248" s="318"/>
      <c r="AD248" s="318"/>
      <c r="AE248" s="318"/>
      <c r="AF248" s="318"/>
      <c r="AG248" s="318"/>
      <c r="AH248" s="318"/>
      <c r="AI248" s="318"/>
      <c r="AJ248" s="318"/>
      <c r="AK248" s="318"/>
      <c r="AL248" s="318"/>
      <c r="AM248" s="318"/>
      <c r="AN248" s="318"/>
      <c r="AO248" s="318"/>
      <c r="AP248" s="318"/>
    </row>
    <row r="249" spans="3:42" ht="15">
      <c r="C249" s="352"/>
      <c r="D249" s="318"/>
      <c r="E249" s="318"/>
      <c r="F249" s="318"/>
      <c r="G249" s="318"/>
      <c r="H249" s="318"/>
      <c r="I249" s="318"/>
      <c r="J249" s="318"/>
      <c r="K249" s="318"/>
      <c r="L249" s="318"/>
      <c r="M249" s="318"/>
      <c r="N249" s="318"/>
      <c r="O249" s="318"/>
      <c r="P249" s="318"/>
      <c r="Q249" s="318"/>
      <c r="R249" s="318"/>
      <c r="S249" s="318"/>
      <c r="T249" s="318"/>
      <c r="U249" s="318"/>
      <c r="V249" s="318"/>
      <c r="W249" s="318"/>
      <c r="X249" s="318"/>
      <c r="Y249" s="318"/>
      <c r="Z249" s="318"/>
      <c r="AA249" s="318"/>
      <c r="AB249" s="318"/>
      <c r="AC249" s="318"/>
      <c r="AD249" s="318"/>
      <c r="AE249" s="318"/>
      <c r="AF249" s="318"/>
      <c r="AG249" s="318"/>
      <c r="AH249" s="318"/>
      <c r="AI249" s="318"/>
      <c r="AJ249" s="318"/>
      <c r="AK249" s="318"/>
      <c r="AL249" s="318"/>
      <c r="AM249" s="318"/>
      <c r="AN249" s="318"/>
      <c r="AO249" s="318"/>
      <c r="AP249" s="318"/>
    </row>
    <row r="250" spans="3:42" ht="15">
      <c r="C250" s="352"/>
      <c r="D250" s="318"/>
      <c r="E250" s="318"/>
      <c r="F250" s="318"/>
      <c r="G250" s="318"/>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row>
    <row r="251" spans="3:42" ht="15">
      <c r="C251" s="352"/>
      <c r="D251" s="318"/>
      <c r="E251" s="318"/>
      <c r="F251" s="318"/>
      <c r="G251" s="318"/>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row>
    <row r="252" spans="3:42" ht="15">
      <c r="C252" s="352"/>
      <c r="D252" s="318"/>
      <c r="E252" s="318"/>
      <c r="F252" s="318"/>
      <c r="G252" s="318"/>
      <c r="H252" s="318"/>
      <c r="I252" s="318"/>
      <c r="J252" s="318"/>
      <c r="K252" s="318"/>
      <c r="L252" s="318"/>
      <c r="M252" s="318"/>
      <c r="N252" s="318"/>
      <c r="O252" s="318"/>
      <c r="P252" s="318"/>
      <c r="Q252" s="318"/>
      <c r="R252" s="318"/>
      <c r="S252" s="318"/>
      <c r="T252" s="318"/>
      <c r="U252" s="318"/>
      <c r="V252" s="318"/>
      <c r="W252" s="318"/>
      <c r="X252" s="318"/>
      <c r="Y252" s="318"/>
      <c r="Z252" s="318"/>
      <c r="AA252" s="318"/>
      <c r="AB252" s="318"/>
      <c r="AC252" s="318"/>
      <c r="AD252" s="318"/>
      <c r="AE252" s="318"/>
      <c r="AF252" s="318"/>
      <c r="AG252" s="318"/>
      <c r="AH252" s="318"/>
      <c r="AI252" s="318"/>
      <c r="AJ252" s="318"/>
      <c r="AK252" s="318"/>
      <c r="AL252" s="318"/>
      <c r="AM252" s="318"/>
      <c r="AN252" s="318"/>
      <c r="AO252" s="318"/>
      <c r="AP252" s="318"/>
    </row>
    <row r="253" spans="3:42" ht="15">
      <c r="C253" s="352"/>
      <c r="D253" s="318"/>
      <c r="E253" s="318"/>
      <c r="F253" s="318"/>
      <c r="G253" s="318"/>
      <c r="H253" s="318"/>
      <c r="I253" s="318"/>
      <c r="J253" s="318"/>
      <c r="K253" s="318"/>
      <c r="L253" s="318"/>
      <c r="M253" s="318"/>
      <c r="N253" s="318"/>
      <c r="O253" s="318"/>
      <c r="P253" s="318"/>
      <c r="Q253" s="318"/>
      <c r="R253" s="318"/>
      <c r="S253" s="318"/>
      <c r="T253" s="318"/>
      <c r="U253" s="318"/>
      <c r="V253" s="318"/>
      <c r="W253" s="318"/>
      <c r="X253" s="318"/>
      <c r="Y253" s="318"/>
      <c r="Z253" s="318"/>
      <c r="AA253" s="318"/>
      <c r="AB253" s="318"/>
      <c r="AC253" s="318"/>
      <c r="AD253" s="318"/>
      <c r="AE253" s="318"/>
      <c r="AF253" s="318"/>
      <c r="AG253" s="318"/>
      <c r="AH253" s="318"/>
      <c r="AI253" s="318"/>
      <c r="AJ253" s="318"/>
      <c r="AK253" s="318"/>
      <c r="AL253" s="318"/>
      <c r="AM253" s="318"/>
      <c r="AN253" s="318"/>
      <c r="AO253" s="318"/>
      <c r="AP253" s="318"/>
    </row>
    <row r="254" spans="3:42" ht="15">
      <c r="C254" s="352"/>
      <c r="D254" s="318"/>
      <c r="E254" s="318"/>
      <c r="F254" s="318"/>
      <c r="G254" s="318"/>
      <c r="H254" s="318"/>
      <c r="I254" s="318"/>
      <c r="J254" s="318"/>
      <c r="K254" s="318"/>
      <c r="L254" s="318"/>
      <c r="M254" s="318"/>
      <c r="N254" s="318"/>
      <c r="O254" s="318"/>
      <c r="P254" s="318"/>
      <c r="Q254" s="318"/>
      <c r="R254" s="318"/>
      <c r="S254" s="318"/>
      <c r="T254" s="318"/>
      <c r="U254" s="318"/>
      <c r="V254" s="318"/>
      <c r="W254" s="318"/>
      <c r="X254" s="318"/>
      <c r="Y254" s="318"/>
      <c r="Z254" s="318"/>
      <c r="AA254" s="318"/>
      <c r="AB254" s="318"/>
      <c r="AC254" s="318"/>
      <c r="AD254" s="318"/>
      <c r="AE254" s="318"/>
      <c r="AF254" s="318"/>
      <c r="AG254" s="318"/>
      <c r="AH254" s="318"/>
      <c r="AI254" s="318"/>
      <c r="AJ254" s="318"/>
      <c r="AK254" s="318"/>
      <c r="AL254" s="318"/>
      <c r="AM254" s="318"/>
      <c r="AN254" s="318"/>
      <c r="AO254" s="318"/>
      <c r="AP254" s="318"/>
    </row>
    <row r="255" spans="3:42" ht="15">
      <c r="C255" s="352"/>
      <c r="D255" s="318"/>
      <c r="E255" s="318"/>
      <c r="F255" s="318"/>
      <c r="G255" s="318"/>
      <c r="H255" s="318"/>
      <c r="I255" s="318"/>
      <c r="J255" s="318"/>
      <c r="K255" s="318"/>
      <c r="L255" s="318"/>
      <c r="M255" s="318"/>
      <c r="N255" s="318"/>
      <c r="O255" s="318"/>
      <c r="P255" s="318"/>
      <c r="Q255" s="318"/>
      <c r="R255" s="318"/>
      <c r="S255" s="318"/>
      <c r="T255" s="318"/>
      <c r="U255" s="318"/>
      <c r="V255" s="318"/>
      <c r="W255" s="318"/>
      <c r="X255" s="318"/>
      <c r="Y255" s="318"/>
      <c r="Z255" s="318"/>
      <c r="AA255" s="318"/>
      <c r="AB255" s="318"/>
      <c r="AC255" s="318"/>
      <c r="AD255" s="318"/>
      <c r="AE255" s="318"/>
      <c r="AF255" s="318"/>
      <c r="AG255" s="318"/>
      <c r="AH255" s="318"/>
      <c r="AI255" s="318"/>
      <c r="AJ255" s="318"/>
      <c r="AK255" s="318"/>
      <c r="AL255" s="318"/>
      <c r="AM255" s="318"/>
      <c r="AN255" s="318"/>
      <c r="AO255" s="318"/>
      <c r="AP255" s="318"/>
    </row>
    <row r="256" spans="3:42" ht="15">
      <c r="C256" s="352"/>
      <c r="D256" s="318"/>
      <c r="E256" s="318"/>
      <c r="F256" s="318"/>
      <c r="G256" s="318"/>
      <c r="H256" s="318"/>
      <c r="I256" s="318"/>
      <c r="J256" s="318"/>
      <c r="K256" s="318"/>
      <c r="L256" s="318"/>
      <c r="M256" s="318"/>
      <c r="N256" s="318"/>
      <c r="O256" s="318"/>
      <c r="P256" s="318"/>
      <c r="Q256" s="318"/>
      <c r="R256" s="318"/>
      <c r="S256" s="318"/>
      <c r="T256" s="318"/>
      <c r="U256" s="318"/>
      <c r="V256" s="318"/>
      <c r="W256" s="318"/>
      <c r="X256" s="318"/>
      <c r="Y256" s="318"/>
      <c r="Z256" s="318"/>
      <c r="AA256" s="318"/>
      <c r="AB256" s="318"/>
      <c r="AC256" s="318"/>
      <c r="AD256" s="318"/>
      <c r="AE256" s="318"/>
      <c r="AF256" s="318"/>
      <c r="AG256" s="318"/>
      <c r="AH256" s="318"/>
      <c r="AI256" s="318"/>
      <c r="AJ256" s="318"/>
      <c r="AK256" s="318"/>
      <c r="AL256" s="318"/>
      <c r="AM256" s="318"/>
      <c r="AN256" s="318"/>
      <c r="AO256" s="318"/>
      <c r="AP256" s="318"/>
    </row>
    <row r="257" spans="3:42" ht="15">
      <c r="C257" s="352"/>
      <c r="D257" s="318"/>
      <c r="E257" s="318"/>
      <c r="F257" s="318"/>
      <c r="G257" s="318"/>
      <c r="H257" s="318"/>
      <c r="I257" s="318"/>
      <c r="J257" s="318"/>
      <c r="K257" s="318"/>
      <c r="L257" s="318"/>
      <c r="M257" s="318"/>
      <c r="N257" s="318"/>
      <c r="O257" s="318"/>
      <c r="P257" s="318"/>
      <c r="Q257" s="318"/>
      <c r="R257" s="318"/>
      <c r="S257" s="318"/>
      <c r="T257" s="318"/>
      <c r="U257" s="318"/>
      <c r="V257" s="318"/>
      <c r="W257" s="318"/>
      <c r="X257" s="318"/>
      <c r="Y257" s="318"/>
      <c r="Z257" s="318"/>
      <c r="AA257" s="318"/>
      <c r="AB257" s="318"/>
      <c r="AC257" s="318"/>
      <c r="AD257" s="318"/>
      <c r="AE257" s="318"/>
      <c r="AF257" s="318"/>
      <c r="AG257" s="318"/>
      <c r="AH257" s="318"/>
      <c r="AI257" s="318"/>
      <c r="AJ257" s="318"/>
      <c r="AK257" s="318"/>
      <c r="AL257" s="318"/>
      <c r="AM257" s="318"/>
      <c r="AN257" s="318"/>
      <c r="AO257" s="318"/>
      <c r="AP257" s="318"/>
    </row>
    <row r="258" spans="3:42" ht="15">
      <c r="C258" s="352"/>
      <c r="D258" s="318"/>
      <c r="E258" s="318"/>
      <c r="F258" s="318"/>
      <c r="G258" s="318"/>
      <c r="H258" s="318"/>
      <c r="I258" s="318"/>
      <c r="J258" s="318"/>
      <c r="K258" s="318"/>
      <c r="L258" s="318"/>
      <c r="M258" s="318"/>
      <c r="N258" s="318"/>
      <c r="O258" s="318"/>
      <c r="P258" s="318"/>
      <c r="Q258" s="318"/>
      <c r="R258" s="318"/>
      <c r="S258" s="318"/>
      <c r="T258" s="318"/>
      <c r="U258" s="318"/>
      <c r="V258" s="318"/>
      <c r="W258" s="318"/>
      <c r="X258" s="318"/>
      <c r="Y258" s="318"/>
      <c r="Z258" s="318"/>
      <c r="AA258" s="318"/>
      <c r="AB258" s="318"/>
      <c r="AC258" s="318"/>
      <c r="AD258" s="318"/>
      <c r="AE258" s="318"/>
      <c r="AF258" s="318"/>
      <c r="AG258" s="318"/>
      <c r="AH258" s="318"/>
      <c r="AI258" s="318"/>
      <c r="AJ258" s="318"/>
      <c r="AK258" s="318"/>
      <c r="AL258" s="318"/>
      <c r="AM258" s="318"/>
      <c r="AN258" s="318"/>
      <c r="AO258" s="318"/>
      <c r="AP258" s="318"/>
    </row>
    <row r="259" spans="3:42" ht="15">
      <c r="C259" s="352"/>
      <c r="D259" s="318"/>
      <c r="E259" s="318"/>
      <c r="F259" s="318"/>
      <c r="G259" s="318"/>
      <c r="H259" s="318"/>
      <c r="I259" s="318"/>
      <c r="J259" s="318"/>
      <c r="K259" s="318"/>
      <c r="L259" s="318"/>
      <c r="M259" s="318"/>
      <c r="N259" s="318"/>
      <c r="O259" s="318"/>
      <c r="P259" s="318"/>
      <c r="Q259" s="318"/>
      <c r="R259" s="318"/>
      <c r="S259" s="318"/>
      <c r="T259" s="318"/>
      <c r="U259" s="318"/>
      <c r="V259" s="318"/>
      <c r="W259" s="318"/>
      <c r="X259" s="318"/>
      <c r="Y259" s="318"/>
      <c r="Z259" s="318"/>
      <c r="AA259" s="318"/>
      <c r="AB259" s="318"/>
      <c r="AC259" s="318"/>
      <c r="AD259" s="318"/>
      <c r="AE259" s="318"/>
      <c r="AF259" s="318"/>
      <c r="AG259" s="318"/>
      <c r="AH259" s="318"/>
      <c r="AI259" s="318"/>
      <c r="AJ259" s="318"/>
      <c r="AK259" s="318"/>
      <c r="AL259" s="318"/>
      <c r="AM259" s="318"/>
      <c r="AN259" s="318"/>
      <c r="AO259" s="318"/>
      <c r="AP259" s="318"/>
    </row>
    <row r="260" spans="3:42" ht="15">
      <c r="C260" s="352"/>
      <c r="D260" s="318"/>
      <c r="E260" s="318"/>
      <c r="F260" s="318"/>
      <c r="G260" s="318"/>
      <c r="H260" s="318"/>
      <c r="I260" s="318"/>
      <c r="J260" s="318"/>
      <c r="K260" s="318"/>
      <c r="L260" s="318"/>
      <c r="M260" s="318"/>
      <c r="N260" s="318"/>
      <c r="O260" s="318"/>
      <c r="P260" s="318"/>
      <c r="Q260" s="318"/>
      <c r="R260" s="318"/>
      <c r="S260" s="318"/>
      <c r="T260" s="318"/>
      <c r="U260" s="318"/>
      <c r="V260" s="318"/>
      <c r="W260" s="318"/>
      <c r="X260" s="318"/>
      <c r="Y260" s="318"/>
      <c r="Z260" s="318"/>
      <c r="AA260" s="318"/>
      <c r="AB260" s="318"/>
      <c r="AC260" s="318"/>
      <c r="AD260" s="318"/>
      <c r="AE260" s="318"/>
      <c r="AF260" s="318"/>
      <c r="AG260" s="318"/>
      <c r="AH260" s="318"/>
      <c r="AI260" s="318"/>
      <c r="AJ260" s="318"/>
      <c r="AK260" s="318"/>
      <c r="AL260" s="318"/>
      <c r="AM260" s="318"/>
      <c r="AN260" s="318"/>
      <c r="AO260" s="318"/>
      <c r="AP260" s="318"/>
    </row>
    <row r="261" spans="3:42" ht="15">
      <c r="C261" s="352"/>
      <c r="D261" s="318"/>
      <c r="E261" s="318"/>
      <c r="F261" s="318"/>
      <c r="G261" s="318"/>
      <c r="H261" s="318"/>
      <c r="I261" s="318"/>
      <c r="J261" s="318"/>
      <c r="K261" s="318"/>
      <c r="L261" s="318"/>
      <c r="M261" s="318"/>
      <c r="N261" s="318"/>
      <c r="O261" s="318"/>
      <c r="P261" s="318"/>
      <c r="Q261" s="318"/>
      <c r="R261" s="318"/>
      <c r="S261" s="318"/>
      <c r="T261" s="318"/>
      <c r="U261" s="318"/>
      <c r="V261" s="318"/>
      <c r="W261" s="318"/>
      <c r="X261" s="318"/>
      <c r="Y261" s="318"/>
      <c r="Z261" s="318"/>
      <c r="AA261" s="318"/>
      <c r="AB261" s="318"/>
      <c r="AC261" s="318"/>
      <c r="AD261" s="318"/>
      <c r="AE261" s="318"/>
      <c r="AF261" s="318"/>
      <c r="AG261" s="318"/>
      <c r="AH261" s="318"/>
      <c r="AI261" s="318"/>
      <c r="AJ261" s="318"/>
      <c r="AK261" s="318"/>
      <c r="AL261" s="318"/>
      <c r="AM261" s="318"/>
      <c r="AN261" s="318"/>
      <c r="AO261" s="318"/>
      <c r="AP261" s="318"/>
    </row>
    <row r="262" spans="3:42" ht="15">
      <c r="C262" s="352"/>
      <c r="D262" s="318"/>
      <c r="E262" s="318"/>
      <c r="F262" s="318"/>
      <c r="G262" s="318"/>
      <c r="H262" s="318"/>
      <c r="I262" s="318"/>
      <c r="J262" s="318"/>
      <c r="K262" s="318"/>
      <c r="L262" s="318"/>
      <c r="M262" s="318"/>
      <c r="N262" s="318"/>
      <c r="O262" s="318"/>
      <c r="P262" s="318"/>
      <c r="Q262" s="318"/>
      <c r="R262" s="318"/>
      <c r="S262" s="318"/>
      <c r="T262" s="318"/>
      <c r="U262" s="318"/>
      <c r="V262" s="318"/>
      <c r="W262" s="318"/>
      <c r="X262" s="318"/>
      <c r="Y262" s="318"/>
      <c r="Z262" s="318"/>
      <c r="AA262" s="318"/>
      <c r="AB262" s="318"/>
      <c r="AC262" s="318"/>
      <c r="AD262" s="318"/>
      <c r="AE262" s="318"/>
      <c r="AF262" s="318"/>
      <c r="AG262" s="318"/>
      <c r="AH262" s="318"/>
      <c r="AI262" s="318"/>
      <c r="AJ262" s="318"/>
      <c r="AK262" s="318"/>
      <c r="AL262" s="318"/>
      <c r="AM262" s="318"/>
      <c r="AN262" s="318"/>
      <c r="AO262" s="318"/>
      <c r="AP262" s="318"/>
    </row>
    <row r="263" spans="3:42" ht="15">
      <c r="C263" s="352"/>
      <c r="D263" s="318"/>
      <c r="E263" s="318"/>
      <c r="F263" s="318"/>
      <c r="G263" s="318"/>
      <c r="H263" s="318"/>
      <c r="I263" s="318"/>
      <c r="J263" s="318"/>
      <c r="K263" s="318"/>
      <c r="L263" s="318"/>
      <c r="M263" s="318"/>
      <c r="N263" s="318"/>
      <c r="O263" s="318"/>
      <c r="P263" s="318"/>
      <c r="Q263" s="318"/>
      <c r="R263" s="318"/>
      <c r="S263" s="318"/>
      <c r="T263" s="318"/>
      <c r="U263" s="318"/>
      <c r="V263" s="318"/>
      <c r="W263" s="318"/>
      <c r="X263" s="318"/>
      <c r="Y263" s="318"/>
      <c r="Z263" s="318"/>
      <c r="AA263" s="318"/>
      <c r="AB263" s="318"/>
      <c r="AC263" s="318"/>
      <c r="AD263" s="318"/>
      <c r="AE263" s="318"/>
      <c r="AF263" s="318"/>
      <c r="AG263" s="318"/>
      <c r="AH263" s="318"/>
      <c r="AI263" s="318"/>
      <c r="AJ263" s="318"/>
      <c r="AK263" s="318"/>
      <c r="AL263" s="318"/>
      <c r="AM263" s="318"/>
      <c r="AN263" s="318"/>
      <c r="AO263" s="318"/>
      <c r="AP263" s="318"/>
    </row>
    <row r="264" spans="3:42" ht="15">
      <c r="C264" s="352"/>
      <c r="D264" s="318"/>
      <c r="E264" s="318"/>
      <c r="F264" s="318"/>
      <c r="G264" s="318"/>
      <c r="H264" s="318"/>
      <c r="I264" s="318"/>
      <c r="J264" s="318"/>
      <c r="K264" s="318"/>
      <c r="L264" s="318"/>
      <c r="M264" s="318"/>
      <c r="N264" s="318"/>
      <c r="O264" s="318"/>
      <c r="P264" s="318"/>
      <c r="Q264" s="318"/>
      <c r="R264" s="318"/>
      <c r="S264" s="318"/>
      <c r="T264" s="318"/>
      <c r="U264" s="318"/>
      <c r="V264" s="318"/>
      <c r="W264" s="318"/>
      <c r="X264" s="318"/>
      <c r="Y264" s="318"/>
      <c r="Z264" s="318"/>
      <c r="AA264" s="318"/>
      <c r="AB264" s="318"/>
      <c r="AC264" s="318"/>
      <c r="AD264" s="318"/>
      <c r="AE264" s="318"/>
      <c r="AF264" s="318"/>
      <c r="AG264" s="318"/>
      <c r="AH264" s="318"/>
      <c r="AI264" s="318"/>
      <c r="AJ264" s="318"/>
      <c r="AK264" s="318"/>
      <c r="AL264" s="318"/>
      <c r="AM264" s="318"/>
      <c r="AN264" s="318"/>
      <c r="AO264" s="318"/>
      <c r="AP264" s="318"/>
    </row>
    <row r="265" spans="3:42" ht="15">
      <c r="C265" s="352"/>
      <c r="D265" s="318"/>
      <c r="E265" s="318"/>
      <c r="F265" s="318"/>
      <c r="G265" s="318"/>
      <c r="H265" s="318"/>
      <c r="I265" s="318"/>
      <c r="J265" s="318"/>
      <c r="K265" s="318"/>
      <c r="L265" s="318"/>
      <c r="M265" s="318"/>
      <c r="N265" s="318"/>
      <c r="O265" s="318"/>
      <c r="P265" s="318"/>
      <c r="Q265" s="318"/>
      <c r="R265" s="318"/>
      <c r="S265" s="318"/>
      <c r="T265" s="318"/>
      <c r="U265" s="318"/>
      <c r="V265" s="318"/>
      <c r="W265" s="318"/>
      <c r="X265" s="318"/>
      <c r="Y265" s="318"/>
      <c r="Z265" s="318"/>
      <c r="AA265" s="318"/>
      <c r="AB265" s="318"/>
      <c r="AC265" s="318"/>
      <c r="AD265" s="318"/>
      <c r="AE265" s="318"/>
      <c r="AF265" s="318"/>
      <c r="AG265" s="318"/>
      <c r="AH265" s="318"/>
      <c r="AI265" s="318"/>
      <c r="AJ265" s="318"/>
      <c r="AK265" s="318"/>
      <c r="AL265" s="318"/>
      <c r="AM265" s="318"/>
      <c r="AN265" s="318"/>
      <c r="AO265" s="318"/>
      <c r="AP265" s="318"/>
    </row>
    <row r="266" spans="3:42" ht="15">
      <c r="C266" s="352"/>
      <c r="D266" s="318"/>
      <c r="E266" s="318"/>
      <c r="F266" s="318"/>
      <c r="G266" s="318"/>
      <c r="H266" s="318"/>
      <c r="I266" s="318"/>
      <c r="J266" s="318"/>
      <c r="K266" s="318"/>
      <c r="L266" s="318"/>
      <c r="M266" s="318"/>
      <c r="N266" s="318"/>
      <c r="O266" s="318"/>
      <c r="P266" s="318"/>
      <c r="Q266" s="318"/>
      <c r="R266" s="318"/>
      <c r="S266" s="318"/>
      <c r="T266" s="318"/>
      <c r="U266" s="318"/>
      <c r="V266" s="318"/>
      <c r="W266" s="318"/>
      <c r="X266" s="318"/>
      <c r="Y266" s="318"/>
      <c r="Z266" s="318"/>
      <c r="AA266" s="318"/>
      <c r="AB266" s="318"/>
      <c r="AC266" s="318"/>
      <c r="AD266" s="318"/>
      <c r="AE266" s="318"/>
      <c r="AF266" s="318"/>
      <c r="AG266" s="318"/>
      <c r="AH266" s="318"/>
      <c r="AI266" s="318"/>
      <c r="AJ266" s="318"/>
      <c r="AK266" s="318"/>
      <c r="AL266" s="318"/>
      <c r="AM266" s="318"/>
      <c r="AN266" s="318"/>
      <c r="AO266" s="318"/>
      <c r="AP266" s="318"/>
    </row>
    <row r="267" spans="3:42" ht="15">
      <c r="C267" s="352"/>
      <c r="D267" s="318"/>
      <c r="E267" s="318"/>
      <c r="F267" s="318"/>
      <c r="G267" s="318"/>
      <c r="H267" s="318"/>
      <c r="I267" s="318"/>
      <c r="J267" s="318"/>
      <c r="K267" s="318"/>
      <c r="L267" s="318"/>
      <c r="M267" s="318"/>
      <c r="N267" s="318"/>
      <c r="O267" s="318"/>
      <c r="P267" s="318"/>
      <c r="Q267" s="318"/>
      <c r="R267" s="318"/>
      <c r="S267" s="318"/>
      <c r="T267" s="318"/>
      <c r="U267" s="318"/>
      <c r="V267" s="318"/>
      <c r="W267" s="318"/>
      <c r="X267" s="318"/>
      <c r="Y267" s="318"/>
      <c r="Z267" s="318"/>
      <c r="AA267" s="318"/>
      <c r="AB267" s="318"/>
      <c r="AC267" s="318"/>
      <c r="AD267" s="318"/>
      <c r="AE267" s="318"/>
      <c r="AF267" s="318"/>
      <c r="AG267" s="318"/>
      <c r="AH267" s="318"/>
      <c r="AI267" s="318"/>
      <c r="AJ267" s="318"/>
      <c r="AK267" s="318"/>
      <c r="AL267" s="318"/>
      <c r="AM267" s="318"/>
      <c r="AN267" s="318"/>
      <c r="AO267" s="318"/>
      <c r="AP267" s="318"/>
    </row>
    <row r="268" spans="3:42" ht="15">
      <c r="C268" s="352"/>
      <c r="D268" s="318"/>
      <c r="E268" s="318"/>
      <c r="F268" s="318"/>
      <c r="G268" s="318"/>
      <c r="H268" s="318"/>
      <c r="I268" s="318"/>
      <c r="J268" s="318"/>
      <c r="K268" s="318"/>
      <c r="L268" s="318"/>
      <c r="M268" s="318"/>
      <c r="N268" s="318"/>
      <c r="O268" s="318"/>
      <c r="P268" s="318"/>
      <c r="Q268" s="318"/>
      <c r="R268" s="318"/>
      <c r="S268" s="318"/>
      <c r="T268" s="318"/>
      <c r="U268" s="318"/>
      <c r="V268" s="318"/>
      <c r="W268" s="318"/>
      <c r="X268" s="318"/>
      <c r="Y268" s="318"/>
      <c r="Z268" s="318"/>
      <c r="AA268" s="318"/>
      <c r="AB268" s="318"/>
      <c r="AC268" s="318"/>
      <c r="AD268" s="318"/>
      <c r="AE268" s="318"/>
      <c r="AF268" s="318"/>
      <c r="AG268" s="318"/>
      <c r="AH268" s="318"/>
      <c r="AI268" s="318"/>
      <c r="AJ268" s="318"/>
      <c r="AK268" s="318"/>
      <c r="AL268" s="318"/>
      <c r="AM268" s="318"/>
      <c r="AN268" s="318"/>
      <c r="AO268" s="318"/>
      <c r="AP268" s="318"/>
    </row>
    <row r="269" spans="3:42" ht="15">
      <c r="C269" s="352"/>
      <c r="D269" s="318"/>
      <c r="E269" s="318"/>
      <c r="F269" s="318"/>
      <c r="G269" s="318"/>
      <c r="H269" s="318"/>
      <c r="I269" s="318"/>
      <c r="J269" s="318"/>
      <c r="K269" s="318"/>
      <c r="L269" s="318"/>
      <c r="M269" s="318"/>
      <c r="N269" s="318"/>
      <c r="O269" s="318"/>
      <c r="P269" s="318"/>
      <c r="Q269" s="318"/>
      <c r="R269" s="318"/>
      <c r="S269" s="318"/>
      <c r="T269" s="318"/>
      <c r="U269" s="318"/>
      <c r="V269" s="318"/>
      <c r="W269" s="318"/>
      <c r="X269" s="318"/>
      <c r="Y269" s="318"/>
      <c r="Z269" s="318"/>
      <c r="AA269" s="318"/>
      <c r="AB269" s="318"/>
      <c r="AC269" s="318"/>
      <c r="AD269" s="318"/>
      <c r="AE269" s="318"/>
      <c r="AF269" s="318"/>
      <c r="AG269" s="318"/>
      <c r="AH269" s="318"/>
      <c r="AI269" s="318"/>
      <c r="AJ269" s="318"/>
      <c r="AK269" s="318"/>
      <c r="AL269" s="318"/>
      <c r="AM269" s="318"/>
      <c r="AN269" s="318"/>
      <c r="AO269" s="318"/>
      <c r="AP269" s="318"/>
    </row>
    <row r="270" spans="3:42" ht="15">
      <c r="C270" s="352"/>
      <c r="D270" s="318"/>
      <c r="E270" s="318"/>
      <c r="F270" s="318"/>
      <c r="G270" s="318"/>
      <c r="H270" s="318"/>
      <c r="I270" s="318"/>
      <c r="J270" s="318"/>
      <c r="K270" s="318"/>
      <c r="L270" s="318"/>
      <c r="M270" s="318"/>
      <c r="N270" s="318"/>
      <c r="O270" s="318"/>
      <c r="P270" s="318"/>
      <c r="Q270" s="318"/>
      <c r="R270" s="318"/>
      <c r="S270" s="318"/>
      <c r="T270" s="318"/>
      <c r="U270" s="318"/>
      <c r="V270" s="318"/>
      <c r="W270" s="318"/>
      <c r="X270" s="318"/>
      <c r="Y270" s="318"/>
      <c r="Z270" s="318"/>
      <c r="AA270" s="318"/>
      <c r="AB270" s="318"/>
      <c r="AC270" s="318"/>
      <c r="AD270" s="318"/>
      <c r="AE270" s="318"/>
      <c r="AF270" s="318"/>
      <c r="AG270" s="318"/>
      <c r="AH270" s="318"/>
      <c r="AI270" s="318"/>
      <c r="AJ270" s="318"/>
      <c r="AK270" s="318"/>
      <c r="AL270" s="318"/>
      <c r="AM270" s="318"/>
      <c r="AN270" s="318"/>
      <c r="AO270" s="318"/>
      <c r="AP270" s="318"/>
    </row>
    <row r="271" spans="3:42" ht="15">
      <c r="C271" s="352"/>
      <c r="D271" s="318"/>
      <c r="E271" s="318"/>
      <c r="F271" s="318"/>
      <c r="G271" s="318"/>
      <c r="H271" s="318"/>
      <c r="I271" s="318"/>
      <c r="J271" s="318"/>
      <c r="K271" s="318"/>
      <c r="L271" s="318"/>
      <c r="M271" s="318"/>
      <c r="N271" s="318"/>
      <c r="O271" s="318"/>
      <c r="P271" s="318"/>
      <c r="Q271" s="318"/>
      <c r="R271" s="318"/>
      <c r="S271" s="318"/>
      <c r="T271" s="318"/>
      <c r="U271" s="318"/>
      <c r="V271" s="318"/>
      <c r="W271" s="318"/>
      <c r="X271" s="318"/>
      <c r="Y271" s="318"/>
      <c r="Z271" s="318"/>
      <c r="AA271" s="318"/>
      <c r="AB271" s="318"/>
      <c r="AC271" s="318"/>
      <c r="AD271" s="318"/>
      <c r="AE271" s="318"/>
      <c r="AF271" s="318"/>
      <c r="AG271" s="318"/>
      <c r="AH271" s="318"/>
      <c r="AI271" s="318"/>
      <c r="AJ271" s="318"/>
      <c r="AK271" s="318"/>
      <c r="AL271" s="318"/>
      <c r="AM271" s="318"/>
      <c r="AN271" s="318"/>
      <c r="AO271" s="318"/>
      <c r="AP271" s="318"/>
    </row>
    <row r="272" spans="3:42" ht="15">
      <c r="C272" s="352"/>
      <c r="D272" s="318"/>
      <c r="E272" s="318"/>
      <c r="F272" s="318"/>
      <c r="G272" s="318"/>
      <c r="H272" s="318"/>
      <c r="I272" s="318"/>
      <c r="J272" s="318"/>
      <c r="K272" s="318"/>
      <c r="L272" s="318"/>
      <c r="M272" s="318"/>
      <c r="N272" s="318"/>
      <c r="O272" s="318"/>
      <c r="P272" s="318"/>
      <c r="Q272" s="318"/>
      <c r="R272" s="318"/>
      <c r="S272" s="318"/>
      <c r="T272" s="318"/>
      <c r="U272" s="318"/>
      <c r="V272" s="318"/>
      <c r="W272" s="318"/>
      <c r="X272" s="318"/>
      <c r="Y272" s="318"/>
      <c r="Z272" s="318"/>
      <c r="AA272" s="318"/>
      <c r="AB272" s="318"/>
      <c r="AC272" s="318"/>
      <c r="AD272" s="318"/>
      <c r="AE272" s="318"/>
      <c r="AF272" s="318"/>
      <c r="AG272" s="318"/>
      <c r="AH272" s="318"/>
      <c r="AI272" s="318"/>
      <c r="AJ272" s="318"/>
      <c r="AK272" s="318"/>
      <c r="AL272" s="318"/>
      <c r="AM272" s="318"/>
      <c r="AN272" s="318"/>
      <c r="AO272" s="318"/>
      <c r="AP272" s="318"/>
    </row>
    <row r="273" spans="3:42" ht="15">
      <c r="C273" s="352"/>
      <c r="D273" s="318"/>
      <c r="E273" s="318"/>
      <c r="F273" s="318"/>
      <c r="G273" s="318"/>
      <c r="H273" s="318"/>
      <c r="I273" s="318"/>
      <c r="J273" s="318"/>
      <c r="K273" s="318"/>
      <c r="L273" s="318"/>
      <c r="M273" s="318"/>
      <c r="N273" s="318"/>
      <c r="O273" s="318"/>
      <c r="P273" s="318"/>
      <c r="Q273" s="318"/>
      <c r="R273" s="318"/>
      <c r="S273" s="318"/>
      <c r="T273" s="318"/>
      <c r="U273" s="318"/>
      <c r="V273" s="318"/>
      <c r="W273" s="318"/>
      <c r="X273" s="318"/>
      <c r="Y273" s="318"/>
      <c r="Z273" s="318"/>
      <c r="AA273" s="318"/>
      <c r="AB273" s="318"/>
      <c r="AC273" s="318"/>
      <c r="AD273" s="318"/>
      <c r="AE273" s="318"/>
      <c r="AF273" s="318"/>
      <c r="AG273" s="318"/>
      <c r="AH273" s="318"/>
      <c r="AI273" s="318"/>
      <c r="AJ273" s="318"/>
      <c r="AK273" s="318"/>
      <c r="AL273" s="318"/>
      <c r="AM273" s="318"/>
      <c r="AN273" s="318"/>
      <c r="AO273" s="318"/>
      <c r="AP273" s="318"/>
    </row>
    <row r="274" spans="3:42" ht="15">
      <c r="C274" s="352"/>
      <c r="D274" s="318"/>
      <c r="E274" s="318"/>
      <c r="F274" s="318"/>
      <c r="G274" s="318"/>
      <c r="H274" s="318"/>
      <c r="I274" s="318"/>
      <c r="J274" s="318"/>
      <c r="K274" s="318"/>
      <c r="L274" s="318"/>
      <c r="M274" s="318"/>
      <c r="N274" s="318"/>
      <c r="O274" s="318"/>
      <c r="P274" s="318"/>
      <c r="Q274" s="318"/>
      <c r="R274" s="318"/>
      <c r="S274" s="318"/>
      <c r="T274" s="318"/>
      <c r="U274" s="318"/>
      <c r="V274" s="318"/>
      <c r="W274" s="318"/>
      <c r="X274" s="318"/>
      <c r="Y274" s="318"/>
      <c r="Z274" s="318"/>
      <c r="AA274" s="318"/>
      <c r="AB274" s="318"/>
      <c r="AC274" s="318"/>
      <c r="AD274" s="318"/>
      <c r="AE274" s="318"/>
      <c r="AF274" s="318"/>
      <c r="AG274" s="318"/>
      <c r="AH274" s="318"/>
      <c r="AI274" s="318"/>
      <c r="AJ274" s="318"/>
      <c r="AK274" s="318"/>
      <c r="AL274" s="318"/>
      <c r="AM274" s="318"/>
      <c r="AN274" s="318"/>
      <c r="AO274" s="318"/>
      <c r="AP274" s="318"/>
    </row>
    <row r="275" spans="3:42" ht="15">
      <c r="C275" s="352"/>
      <c r="D275" s="318"/>
      <c r="E275" s="318"/>
      <c r="F275" s="318"/>
      <c r="G275" s="318"/>
      <c r="H275" s="318"/>
      <c r="I275" s="318"/>
      <c r="J275" s="318"/>
      <c r="K275" s="318"/>
      <c r="L275" s="318"/>
      <c r="M275" s="318"/>
      <c r="N275" s="318"/>
      <c r="O275" s="318"/>
      <c r="P275" s="318"/>
      <c r="Q275" s="318"/>
      <c r="R275" s="318"/>
      <c r="S275" s="318"/>
      <c r="T275" s="318"/>
      <c r="U275" s="318"/>
      <c r="V275" s="318"/>
      <c r="W275" s="318"/>
      <c r="X275" s="318"/>
      <c r="Y275" s="318"/>
      <c r="Z275" s="318"/>
      <c r="AA275" s="318"/>
      <c r="AB275" s="318"/>
      <c r="AC275" s="318"/>
      <c r="AD275" s="318"/>
      <c r="AE275" s="318"/>
      <c r="AF275" s="318"/>
      <c r="AG275" s="318"/>
      <c r="AH275" s="318"/>
      <c r="AI275" s="318"/>
      <c r="AJ275" s="318"/>
      <c r="AK275" s="318"/>
      <c r="AL275" s="318"/>
      <c r="AM275" s="318"/>
      <c r="AN275" s="318"/>
      <c r="AO275" s="318"/>
      <c r="AP275" s="318"/>
    </row>
    <row r="276" spans="3:42" ht="15">
      <c r="C276" s="352"/>
      <c r="D276" s="318"/>
      <c r="E276" s="318"/>
      <c r="F276" s="318"/>
      <c r="G276" s="318"/>
      <c r="H276" s="318"/>
      <c r="I276" s="318"/>
      <c r="J276" s="318"/>
      <c r="K276" s="318"/>
      <c r="L276" s="318"/>
      <c r="M276" s="318"/>
      <c r="N276" s="318"/>
      <c r="O276" s="318"/>
      <c r="P276" s="318"/>
      <c r="Q276" s="318"/>
      <c r="R276" s="318"/>
      <c r="S276" s="318"/>
      <c r="T276" s="318"/>
      <c r="U276" s="318"/>
      <c r="V276" s="318"/>
      <c r="W276" s="318"/>
      <c r="X276" s="318"/>
      <c r="Y276" s="318"/>
      <c r="Z276" s="318"/>
      <c r="AA276" s="318"/>
      <c r="AB276" s="318"/>
      <c r="AC276" s="318"/>
      <c r="AD276" s="318"/>
      <c r="AE276" s="318"/>
      <c r="AF276" s="318"/>
      <c r="AG276" s="318"/>
      <c r="AH276" s="318"/>
      <c r="AI276" s="318"/>
      <c r="AJ276" s="318"/>
      <c r="AK276" s="318"/>
      <c r="AL276" s="318"/>
      <c r="AM276" s="318"/>
      <c r="AN276" s="318"/>
      <c r="AO276" s="318"/>
      <c r="AP276" s="318"/>
    </row>
    <row r="277" spans="3:42" ht="15">
      <c r="C277" s="352"/>
      <c r="D277" s="318"/>
      <c r="E277" s="318"/>
      <c r="F277" s="318"/>
      <c r="G277" s="318"/>
      <c r="H277" s="318"/>
      <c r="I277" s="318"/>
      <c r="J277" s="318"/>
      <c r="K277" s="318"/>
      <c r="L277" s="318"/>
      <c r="M277" s="318"/>
      <c r="N277" s="318"/>
      <c r="O277" s="318"/>
      <c r="P277" s="318"/>
      <c r="Q277" s="318"/>
      <c r="R277" s="318"/>
      <c r="S277" s="318"/>
      <c r="T277" s="318"/>
      <c r="U277" s="318"/>
      <c r="V277" s="318"/>
      <c r="W277" s="318"/>
      <c r="X277" s="318"/>
      <c r="Y277" s="318"/>
      <c r="Z277" s="318"/>
      <c r="AA277" s="318"/>
      <c r="AB277" s="318"/>
      <c r="AC277" s="318"/>
      <c r="AD277" s="318"/>
      <c r="AE277" s="318"/>
      <c r="AF277" s="318"/>
      <c r="AG277" s="318"/>
      <c r="AH277" s="318"/>
      <c r="AI277" s="318"/>
      <c r="AJ277" s="318"/>
      <c r="AK277" s="318"/>
      <c r="AL277" s="318"/>
      <c r="AM277" s="318"/>
      <c r="AN277" s="318"/>
      <c r="AO277" s="318"/>
      <c r="AP277" s="318"/>
    </row>
    <row r="278" spans="3:42" ht="15">
      <c r="C278" s="352"/>
      <c r="D278" s="318"/>
      <c r="E278" s="318"/>
      <c r="F278" s="318"/>
      <c r="G278" s="318"/>
      <c r="H278" s="318"/>
      <c r="I278" s="318"/>
      <c r="J278" s="318"/>
      <c r="K278" s="318"/>
      <c r="L278" s="318"/>
      <c r="M278" s="318"/>
      <c r="N278" s="318"/>
      <c r="O278" s="318"/>
      <c r="P278" s="318"/>
      <c r="Q278" s="318"/>
      <c r="R278" s="318"/>
      <c r="S278" s="318"/>
      <c r="T278" s="318"/>
      <c r="U278" s="318"/>
      <c r="V278" s="318"/>
      <c r="W278" s="318"/>
      <c r="X278" s="318"/>
      <c r="Y278" s="318"/>
      <c r="Z278" s="318"/>
      <c r="AA278" s="318"/>
      <c r="AB278" s="318"/>
      <c r="AC278" s="318"/>
      <c r="AD278" s="318"/>
      <c r="AE278" s="318"/>
      <c r="AF278" s="318"/>
      <c r="AG278" s="318"/>
      <c r="AH278" s="318"/>
      <c r="AI278" s="318"/>
      <c r="AJ278" s="318"/>
      <c r="AK278" s="318"/>
      <c r="AL278" s="318"/>
      <c r="AM278" s="318"/>
      <c r="AN278" s="318"/>
      <c r="AO278" s="318"/>
      <c r="AP278" s="318"/>
    </row>
    <row r="279" spans="3:42" ht="15">
      <c r="C279" s="352"/>
      <c r="D279" s="318"/>
      <c r="E279" s="318"/>
      <c r="F279" s="318"/>
      <c r="G279" s="318"/>
      <c r="H279" s="318"/>
      <c r="I279" s="318"/>
      <c r="J279" s="318"/>
      <c r="K279" s="318"/>
      <c r="L279" s="318"/>
      <c r="M279" s="318"/>
      <c r="N279" s="318"/>
      <c r="O279" s="318"/>
      <c r="P279" s="318"/>
      <c r="Q279" s="318"/>
      <c r="R279" s="318"/>
      <c r="S279" s="318"/>
      <c r="T279" s="318"/>
      <c r="U279" s="318"/>
      <c r="V279" s="318"/>
      <c r="W279" s="318"/>
      <c r="X279" s="318"/>
      <c r="Y279" s="318"/>
      <c r="Z279" s="318"/>
      <c r="AA279" s="318"/>
      <c r="AB279" s="318"/>
      <c r="AC279" s="318"/>
      <c r="AD279" s="318"/>
      <c r="AE279" s="318"/>
      <c r="AF279" s="318"/>
      <c r="AG279" s="318"/>
      <c r="AH279" s="318"/>
      <c r="AI279" s="318"/>
      <c r="AJ279" s="318"/>
      <c r="AK279" s="318"/>
      <c r="AL279" s="318"/>
      <c r="AM279" s="318"/>
      <c r="AN279" s="318"/>
      <c r="AO279" s="318"/>
      <c r="AP279" s="318"/>
    </row>
    <row r="280" spans="3:42" ht="15">
      <c r="C280" s="352"/>
      <c r="D280" s="318"/>
      <c r="E280" s="318"/>
      <c r="F280" s="318"/>
      <c r="G280" s="318"/>
      <c r="H280" s="318"/>
      <c r="I280" s="318"/>
      <c r="J280" s="318"/>
      <c r="K280" s="318"/>
      <c r="L280" s="318"/>
      <c r="M280" s="318"/>
      <c r="N280" s="318"/>
      <c r="O280" s="318"/>
      <c r="P280" s="318"/>
      <c r="Q280" s="318"/>
      <c r="R280" s="318"/>
      <c r="S280" s="318"/>
      <c r="T280" s="318"/>
      <c r="U280" s="318"/>
      <c r="V280" s="318"/>
      <c r="W280" s="318"/>
      <c r="X280" s="318"/>
      <c r="Y280" s="318"/>
      <c r="Z280" s="318"/>
      <c r="AA280" s="318"/>
      <c r="AB280" s="318"/>
      <c r="AC280" s="318"/>
      <c r="AD280" s="318"/>
      <c r="AE280" s="318"/>
      <c r="AF280" s="318"/>
      <c r="AG280" s="318"/>
      <c r="AH280" s="318"/>
      <c r="AI280" s="318"/>
      <c r="AJ280" s="318"/>
      <c r="AK280" s="318"/>
      <c r="AL280" s="318"/>
      <c r="AM280" s="318"/>
      <c r="AN280" s="318"/>
      <c r="AO280" s="318"/>
      <c r="AP280" s="318"/>
    </row>
    <row r="281" spans="3:42" ht="15">
      <c r="C281" s="352"/>
      <c r="D281" s="318"/>
      <c r="E281" s="318"/>
      <c r="F281" s="318"/>
      <c r="G281" s="318"/>
      <c r="H281" s="318"/>
      <c r="I281" s="318"/>
      <c r="J281" s="318"/>
      <c r="K281" s="318"/>
      <c r="L281" s="318"/>
      <c r="M281" s="318"/>
      <c r="N281" s="318"/>
      <c r="O281" s="318"/>
      <c r="P281" s="318"/>
      <c r="Q281" s="318"/>
      <c r="R281" s="318"/>
      <c r="S281" s="318"/>
      <c r="T281" s="318"/>
      <c r="U281" s="318"/>
      <c r="V281" s="318"/>
      <c r="W281" s="318"/>
      <c r="X281" s="318"/>
      <c r="Y281" s="318"/>
      <c r="Z281" s="318"/>
      <c r="AA281" s="318"/>
      <c r="AB281" s="318"/>
      <c r="AC281" s="318"/>
      <c r="AD281" s="318"/>
      <c r="AE281" s="318"/>
      <c r="AF281" s="318"/>
      <c r="AG281" s="318"/>
      <c r="AH281" s="318"/>
      <c r="AI281" s="318"/>
      <c r="AJ281" s="318"/>
      <c r="AK281" s="318"/>
      <c r="AL281" s="318"/>
      <c r="AM281" s="318"/>
      <c r="AN281" s="318"/>
      <c r="AO281" s="318"/>
      <c r="AP281" s="318"/>
    </row>
    <row r="282" spans="3:42" ht="15">
      <c r="C282" s="352"/>
      <c r="D282" s="318"/>
      <c r="E282" s="318"/>
      <c r="F282" s="318"/>
      <c r="G282" s="318"/>
      <c r="H282" s="318"/>
      <c r="I282" s="318"/>
      <c r="J282" s="318"/>
      <c r="K282" s="318"/>
      <c r="L282" s="318"/>
      <c r="M282" s="318"/>
      <c r="N282" s="318"/>
      <c r="O282" s="318"/>
      <c r="P282" s="318"/>
      <c r="Q282" s="318"/>
      <c r="R282" s="318"/>
      <c r="S282" s="318"/>
      <c r="T282" s="318"/>
      <c r="U282" s="318"/>
      <c r="V282" s="318"/>
      <c r="W282" s="318"/>
      <c r="X282" s="318"/>
      <c r="Y282" s="318"/>
      <c r="Z282" s="318"/>
      <c r="AA282" s="318"/>
      <c r="AB282" s="318"/>
      <c r="AC282" s="318"/>
      <c r="AD282" s="318"/>
      <c r="AE282" s="318"/>
      <c r="AF282" s="318"/>
      <c r="AG282" s="318"/>
      <c r="AH282" s="318"/>
      <c r="AI282" s="318"/>
      <c r="AJ282" s="318"/>
      <c r="AK282" s="318"/>
      <c r="AL282" s="318"/>
      <c r="AM282" s="318"/>
      <c r="AN282" s="318"/>
      <c r="AO282" s="318"/>
      <c r="AP282" s="318"/>
    </row>
    <row r="283" spans="3:42" ht="15">
      <c r="C283" s="352"/>
      <c r="D283" s="318"/>
      <c r="E283" s="318"/>
      <c r="F283" s="318"/>
      <c r="G283" s="318"/>
      <c r="H283" s="318"/>
      <c r="I283" s="318"/>
      <c r="J283" s="318"/>
      <c r="K283" s="318"/>
      <c r="L283" s="318"/>
      <c r="M283" s="318"/>
      <c r="N283" s="318"/>
      <c r="O283" s="318"/>
      <c r="P283" s="318"/>
      <c r="Q283" s="318"/>
      <c r="R283" s="318"/>
      <c r="S283" s="318"/>
      <c r="T283" s="318"/>
      <c r="U283" s="318"/>
      <c r="V283" s="318"/>
      <c r="W283" s="318"/>
      <c r="X283" s="318"/>
      <c r="Y283" s="318"/>
      <c r="Z283" s="318"/>
      <c r="AA283" s="318"/>
      <c r="AB283" s="318"/>
      <c r="AC283" s="318"/>
      <c r="AD283" s="318"/>
      <c r="AE283" s="318"/>
      <c r="AF283" s="318"/>
      <c r="AG283" s="318"/>
      <c r="AH283" s="318"/>
      <c r="AI283" s="318"/>
      <c r="AJ283" s="318"/>
      <c r="AK283" s="318"/>
      <c r="AL283" s="318"/>
      <c r="AM283" s="318"/>
      <c r="AN283" s="318"/>
      <c r="AO283" s="318"/>
      <c r="AP283" s="318"/>
    </row>
    <row r="284" spans="3:42" ht="15">
      <c r="C284" s="352"/>
      <c r="D284" s="318"/>
      <c r="E284" s="318"/>
      <c r="F284" s="318"/>
      <c r="G284" s="318"/>
      <c r="H284" s="318"/>
      <c r="I284" s="318"/>
      <c r="J284" s="318"/>
      <c r="K284" s="318"/>
      <c r="L284" s="318"/>
      <c r="M284" s="318"/>
      <c r="N284" s="318"/>
      <c r="O284" s="318"/>
      <c r="P284" s="318"/>
      <c r="Q284" s="318"/>
      <c r="R284" s="318"/>
      <c r="S284" s="318"/>
      <c r="T284" s="318"/>
      <c r="U284" s="318"/>
      <c r="V284" s="318"/>
      <c r="W284" s="318"/>
      <c r="X284" s="318"/>
      <c r="Y284" s="318"/>
      <c r="Z284" s="318"/>
      <c r="AA284" s="318"/>
      <c r="AB284" s="318"/>
      <c r="AC284" s="318"/>
      <c r="AD284" s="318"/>
      <c r="AE284" s="318"/>
      <c r="AF284" s="318"/>
      <c r="AG284" s="318"/>
      <c r="AH284" s="318"/>
      <c r="AI284" s="318"/>
      <c r="AJ284" s="318"/>
      <c r="AK284" s="318"/>
      <c r="AL284" s="318"/>
      <c r="AM284" s="318"/>
      <c r="AN284" s="318"/>
      <c r="AO284" s="318"/>
      <c r="AP284" s="318"/>
    </row>
    <row r="285" spans="3:42" ht="15">
      <c r="C285" s="352"/>
      <c r="D285" s="318"/>
      <c r="E285" s="318"/>
      <c r="F285" s="318"/>
      <c r="G285" s="318"/>
      <c r="H285" s="318"/>
      <c r="I285" s="318"/>
      <c r="J285" s="318"/>
      <c r="K285" s="318"/>
      <c r="L285" s="318"/>
      <c r="M285" s="318"/>
      <c r="N285" s="318"/>
      <c r="O285" s="318"/>
      <c r="P285" s="318"/>
      <c r="Q285" s="318"/>
      <c r="R285" s="318"/>
      <c r="S285" s="318"/>
      <c r="T285" s="318"/>
      <c r="U285" s="318"/>
      <c r="V285" s="318"/>
      <c r="W285" s="318"/>
      <c r="X285" s="318"/>
      <c r="Y285" s="318"/>
      <c r="Z285" s="318"/>
      <c r="AA285" s="318"/>
      <c r="AB285" s="318"/>
      <c r="AC285" s="318"/>
      <c r="AD285" s="318"/>
      <c r="AE285" s="318"/>
      <c r="AF285" s="318"/>
      <c r="AG285" s="318"/>
      <c r="AH285" s="318"/>
      <c r="AI285" s="318"/>
      <c r="AJ285" s="318"/>
      <c r="AK285" s="318"/>
      <c r="AL285" s="318"/>
      <c r="AM285" s="318"/>
      <c r="AN285" s="318"/>
      <c r="AO285" s="318"/>
      <c r="AP285" s="318"/>
    </row>
    <row r="286" spans="3:42" ht="15">
      <c r="C286" s="352"/>
      <c r="D286" s="318"/>
      <c r="E286" s="318"/>
      <c r="F286" s="318"/>
      <c r="G286" s="318"/>
      <c r="H286" s="318"/>
      <c r="I286" s="318"/>
      <c r="J286" s="318"/>
      <c r="K286" s="318"/>
      <c r="L286" s="318"/>
      <c r="M286" s="318"/>
      <c r="N286" s="318"/>
      <c r="O286" s="318"/>
      <c r="P286" s="318"/>
      <c r="Q286" s="318"/>
      <c r="R286" s="318"/>
      <c r="S286" s="318"/>
      <c r="T286" s="318"/>
      <c r="U286" s="318"/>
      <c r="V286" s="318"/>
      <c r="W286" s="318"/>
      <c r="X286" s="318"/>
      <c r="Y286" s="318"/>
      <c r="Z286" s="318"/>
      <c r="AA286" s="318"/>
      <c r="AB286" s="318"/>
      <c r="AC286" s="318"/>
      <c r="AD286" s="318"/>
      <c r="AE286" s="318"/>
      <c r="AF286" s="318"/>
      <c r="AG286" s="318"/>
      <c r="AH286" s="318"/>
      <c r="AI286" s="318"/>
      <c r="AJ286" s="318"/>
      <c r="AK286" s="318"/>
      <c r="AL286" s="318"/>
      <c r="AM286" s="318"/>
      <c r="AN286" s="318"/>
      <c r="AO286" s="318"/>
      <c r="AP286" s="318"/>
    </row>
    <row r="287" spans="3:42" ht="15">
      <c r="C287" s="352"/>
      <c r="D287" s="318"/>
      <c r="E287" s="318"/>
      <c r="F287" s="318"/>
      <c r="G287" s="318"/>
      <c r="H287" s="318"/>
      <c r="I287" s="318"/>
      <c r="J287" s="318"/>
      <c r="K287" s="318"/>
      <c r="L287" s="318"/>
      <c r="M287" s="318"/>
      <c r="N287" s="318"/>
      <c r="O287" s="318"/>
      <c r="P287" s="318"/>
      <c r="Q287" s="318"/>
      <c r="R287" s="318"/>
      <c r="S287" s="318"/>
      <c r="T287" s="318"/>
      <c r="U287" s="318"/>
      <c r="V287" s="318"/>
      <c r="W287" s="318"/>
      <c r="X287" s="318"/>
      <c r="Y287" s="318"/>
      <c r="Z287" s="318"/>
      <c r="AA287" s="318"/>
      <c r="AB287" s="318"/>
      <c r="AC287" s="318"/>
      <c r="AD287" s="318"/>
      <c r="AE287" s="318"/>
      <c r="AF287" s="318"/>
      <c r="AG287" s="318"/>
      <c r="AH287" s="318"/>
      <c r="AI287" s="318"/>
      <c r="AJ287" s="318"/>
      <c r="AK287" s="318"/>
      <c r="AL287" s="318"/>
      <c r="AM287" s="318"/>
      <c r="AN287" s="318"/>
      <c r="AO287" s="318"/>
      <c r="AP287" s="318"/>
    </row>
    <row r="288" spans="3:42" ht="15">
      <c r="C288" s="352"/>
      <c r="D288" s="318"/>
      <c r="E288" s="318"/>
      <c r="F288" s="318"/>
      <c r="G288" s="318"/>
      <c r="H288" s="318"/>
      <c r="I288" s="318"/>
      <c r="J288" s="318"/>
      <c r="K288" s="318"/>
      <c r="L288" s="318"/>
      <c r="M288" s="318"/>
      <c r="N288" s="318"/>
      <c r="O288" s="318"/>
      <c r="P288" s="318"/>
      <c r="Q288" s="318"/>
      <c r="R288" s="318"/>
      <c r="S288" s="318"/>
      <c r="T288" s="318"/>
      <c r="U288" s="318"/>
      <c r="V288" s="318"/>
      <c r="W288" s="318"/>
      <c r="X288" s="318"/>
      <c r="Y288" s="318"/>
      <c r="Z288" s="318"/>
      <c r="AA288" s="318"/>
      <c r="AB288" s="318"/>
      <c r="AC288" s="318"/>
      <c r="AD288" s="318"/>
      <c r="AE288" s="318"/>
      <c r="AF288" s="318"/>
      <c r="AG288" s="318"/>
      <c r="AH288" s="318"/>
      <c r="AI288" s="318"/>
      <c r="AJ288" s="318"/>
      <c r="AK288" s="318"/>
      <c r="AL288" s="318"/>
      <c r="AM288" s="318"/>
      <c r="AN288" s="318"/>
      <c r="AO288" s="318"/>
      <c r="AP288" s="318"/>
    </row>
    <row r="289" spans="3:42" ht="15">
      <c r="C289" s="352"/>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c r="AA289" s="318"/>
      <c r="AB289" s="318"/>
      <c r="AC289" s="318"/>
      <c r="AD289" s="318"/>
      <c r="AE289" s="318"/>
      <c r="AF289" s="318"/>
      <c r="AG289" s="318"/>
      <c r="AH289" s="318"/>
      <c r="AI289" s="318"/>
      <c r="AJ289" s="318"/>
      <c r="AK289" s="318"/>
      <c r="AL289" s="318"/>
      <c r="AM289" s="318"/>
      <c r="AN289" s="318"/>
      <c r="AO289" s="318"/>
      <c r="AP289" s="318"/>
    </row>
    <row r="290" spans="3:42" ht="15">
      <c r="C290" s="352"/>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318"/>
      <c r="Z290" s="318"/>
      <c r="AA290" s="318"/>
      <c r="AB290" s="318"/>
      <c r="AC290" s="318"/>
      <c r="AD290" s="318"/>
      <c r="AE290" s="318"/>
      <c r="AF290" s="318"/>
      <c r="AG290" s="318"/>
      <c r="AH290" s="318"/>
      <c r="AI290" s="318"/>
      <c r="AJ290" s="318"/>
      <c r="AK290" s="318"/>
      <c r="AL290" s="318"/>
      <c r="AM290" s="318"/>
      <c r="AN290" s="318"/>
      <c r="AO290" s="318"/>
      <c r="AP290" s="318"/>
    </row>
    <row r="291" spans="3:42" ht="15">
      <c r="C291" s="352"/>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s="318"/>
      <c r="AJ291" s="318"/>
      <c r="AK291" s="318"/>
      <c r="AL291" s="318"/>
      <c r="AM291" s="318"/>
      <c r="AN291" s="318"/>
      <c r="AO291" s="318"/>
      <c r="AP291" s="318"/>
    </row>
    <row r="292" spans="3:42" ht="15">
      <c r="C292" s="352"/>
      <c r="D292" s="318"/>
      <c r="E292" s="318"/>
      <c r="F292" s="318"/>
      <c r="G292" s="318"/>
      <c r="H292" s="318"/>
      <c r="I292" s="318"/>
      <c r="J292" s="318"/>
      <c r="K292" s="318"/>
      <c r="L292" s="318"/>
      <c r="M292" s="318"/>
      <c r="N292" s="318"/>
      <c r="O292" s="318"/>
      <c r="P292" s="318"/>
      <c r="Q292" s="318"/>
      <c r="R292" s="318"/>
      <c r="S292" s="318"/>
      <c r="T292" s="318"/>
      <c r="U292" s="318"/>
      <c r="V292" s="318"/>
      <c r="W292" s="318"/>
      <c r="X292" s="318"/>
      <c r="Y292" s="318"/>
      <c r="Z292" s="318"/>
      <c r="AA292" s="318"/>
      <c r="AB292" s="318"/>
      <c r="AC292" s="318"/>
      <c r="AD292" s="318"/>
      <c r="AE292" s="318"/>
      <c r="AF292" s="318"/>
      <c r="AG292" s="318"/>
      <c r="AH292" s="318"/>
      <c r="AI292" s="318"/>
      <c r="AJ292" s="318"/>
      <c r="AK292" s="318"/>
      <c r="AL292" s="318"/>
      <c r="AM292" s="318"/>
      <c r="AN292" s="318"/>
      <c r="AO292" s="318"/>
      <c r="AP292" s="318"/>
    </row>
    <row r="293" spans="3:42" ht="15">
      <c r="C293" s="352"/>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318"/>
      <c r="Z293" s="318"/>
      <c r="AA293" s="318"/>
      <c r="AB293" s="318"/>
      <c r="AC293" s="318"/>
      <c r="AD293" s="318"/>
      <c r="AE293" s="318"/>
      <c r="AF293" s="318"/>
      <c r="AG293" s="318"/>
      <c r="AH293" s="318"/>
      <c r="AI293" s="318"/>
      <c r="AJ293" s="318"/>
      <c r="AK293" s="318"/>
      <c r="AL293" s="318"/>
      <c r="AM293" s="318"/>
      <c r="AN293" s="318"/>
      <c r="AO293" s="318"/>
      <c r="AP293" s="318"/>
    </row>
    <row r="294" spans="3:42" ht="15">
      <c r="C294" s="352"/>
      <c r="D294" s="318"/>
      <c r="E294" s="318"/>
      <c r="F294" s="318"/>
      <c r="G294" s="318"/>
      <c r="H294" s="318"/>
      <c r="I294" s="318"/>
      <c r="J294" s="318"/>
      <c r="K294" s="318"/>
      <c r="L294" s="318"/>
      <c r="M294" s="318"/>
      <c r="N294" s="318"/>
      <c r="O294" s="318"/>
      <c r="P294" s="318"/>
      <c r="Q294" s="318"/>
      <c r="R294" s="318"/>
      <c r="S294" s="318"/>
      <c r="T294" s="318"/>
      <c r="U294" s="318"/>
      <c r="V294" s="318"/>
      <c r="W294" s="318"/>
      <c r="X294" s="318"/>
      <c r="Y294" s="318"/>
      <c r="Z294" s="318"/>
      <c r="AA294" s="318"/>
      <c r="AB294" s="318"/>
      <c r="AC294" s="318"/>
      <c r="AD294" s="318"/>
      <c r="AE294" s="318"/>
      <c r="AF294" s="318"/>
      <c r="AG294" s="318"/>
      <c r="AH294" s="318"/>
      <c r="AI294" s="318"/>
      <c r="AJ294" s="318"/>
      <c r="AK294" s="318"/>
      <c r="AL294" s="318"/>
      <c r="AM294" s="318"/>
      <c r="AN294" s="318"/>
      <c r="AO294" s="318"/>
      <c r="AP294" s="318"/>
    </row>
    <row r="295" spans="3:42" ht="15">
      <c r="C295" s="352"/>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18"/>
      <c r="AJ295" s="318"/>
      <c r="AK295" s="318"/>
      <c r="AL295" s="318"/>
      <c r="AM295" s="318"/>
      <c r="AN295" s="318"/>
      <c r="AO295" s="318"/>
      <c r="AP295" s="318"/>
    </row>
    <row r="296" spans="3:42" ht="15">
      <c r="C296" s="352"/>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318"/>
      <c r="Z296" s="318"/>
      <c r="AA296" s="318"/>
      <c r="AB296" s="318"/>
      <c r="AC296" s="318"/>
      <c r="AD296" s="318"/>
      <c r="AE296" s="318"/>
      <c r="AF296" s="318"/>
      <c r="AG296" s="318"/>
      <c r="AH296" s="318"/>
      <c r="AI296" s="318"/>
      <c r="AJ296" s="318"/>
      <c r="AK296" s="318"/>
      <c r="AL296" s="318"/>
      <c r="AM296" s="318"/>
      <c r="AN296" s="318"/>
      <c r="AO296" s="318"/>
      <c r="AP296" s="318"/>
    </row>
    <row r="297" spans="3:42" ht="15">
      <c r="C297" s="352"/>
      <c r="D297" s="318"/>
      <c r="E297" s="318"/>
      <c r="F297" s="318"/>
      <c r="G297" s="318"/>
      <c r="H297" s="318"/>
      <c r="I297" s="318"/>
      <c r="J297" s="318"/>
      <c r="K297" s="318"/>
      <c r="L297" s="318"/>
      <c r="M297" s="318"/>
      <c r="N297" s="318"/>
      <c r="O297" s="318"/>
      <c r="P297" s="318"/>
      <c r="Q297" s="318"/>
      <c r="R297" s="318"/>
      <c r="S297" s="318"/>
      <c r="T297" s="318"/>
      <c r="U297" s="318"/>
      <c r="V297" s="318"/>
      <c r="W297" s="318"/>
      <c r="X297" s="318"/>
      <c r="Y297" s="318"/>
      <c r="Z297" s="318"/>
      <c r="AA297" s="318"/>
      <c r="AB297" s="318"/>
      <c r="AC297" s="318"/>
      <c r="AD297" s="318"/>
      <c r="AE297" s="318"/>
      <c r="AF297" s="318"/>
      <c r="AG297" s="318"/>
      <c r="AH297" s="318"/>
      <c r="AI297" s="318"/>
      <c r="AJ297" s="318"/>
      <c r="AK297" s="318"/>
      <c r="AL297" s="318"/>
      <c r="AM297" s="318"/>
      <c r="AN297" s="318"/>
      <c r="AO297" s="318"/>
      <c r="AP297" s="318"/>
    </row>
    <row r="298" spans="3:42" ht="15">
      <c r="C298" s="352"/>
      <c r="D298" s="318"/>
      <c r="E298" s="318"/>
      <c r="F298" s="318"/>
      <c r="G298" s="318"/>
      <c r="H298" s="318"/>
      <c r="I298" s="318"/>
      <c r="J298" s="318"/>
      <c r="K298" s="318"/>
      <c r="L298" s="318"/>
      <c r="M298" s="318"/>
      <c r="N298" s="318"/>
      <c r="O298" s="318"/>
      <c r="P298" s="318"/>
      <c r="Q298" s="318"/>
      <c r="R298" s="318"/>
      <c r="S298" s="318"/>
      <c r="T298" s="318"/>
      <c r="U298" s="318"/>
      <c r="V298" s="318"/>
      <c r="W298" s="318"/>
      <c r="X298" s="318"/>
      <c r="Y298" s="318"/>
      <c r="Z298" s="318"/>
      <c r="AA298" s="318"/>
      <c r="AB298" s="318"/>
      <c r="AC298" s="318"/>
      <c r="AD298" s="318"/>
      <c r="AE298" s="318"/>
      <c r="AF298" s="318"/>
      <c r="AG298" s="318"/>
      <c r="AH298" s="318"/>
      <c r="AI298" s="318"/>
      <c r="AJ298" s="318"/>
      <c r="AK298" s="318"/>
      <c r="AL298" s="318"/>
      <c r="AM298" s="318"/>
      <c r="AN298" s="318"/>
      <c r="AO298" s="318"/>
      <c r="AP298" s="318"/>
    </row>
    <row r="299" spans="3:42" ht="15">
      <c r="C299" s="352"/>
      <c r="D299" s="318"/>
      <c r="E299" s="318"/>
      <c r="F299" s="318"/>
      <c r="G299" s="318"/>
      <c r="H299" s="318"/>
      <c r="I299" s="318"/>
      <c r="J299" s="318"/>
      <c r="K299" s="318"/>
      <c r="L299" s="318"/>
      <c r="M299" s="318"/>
      <c r="N299" s="318"/>
      <c r="O299" s="318"/>
      <c r="P299" s="318"/>
      <c r="Q299" s="318"/>
      <c r="R299" s="318"/>
      <c r="S299" s="318"/>
      <c r="T299" s="318"/>
      <c r="U299" s="318"/>
      <c r="V299" s="318"/>
      <c r="W299" s="318"/>
      <c r="X299" s="318"/>
      <c r="Y299" s="318"/>
      <c r="Z299" s="318"/>
      <c r="AA299" s="318"/>
      <c r="AB299" s="318"/>
      <c r="AC299" s="318"/>
      <c r="AD299" s="318"/>
      <c r="AE299" s="318"/>
      <c r="AF299" s="318"/>
      <c r="AG299" s="318"/>
      <c r="AH299" s="318"/>
      <c r="AI299" s="318"/>
      <c r="AJ299" s="318"/>
      <c r="AK299" s="318"/>
      <c r="AL299" s="318"/>
      <c r="AM299" s="318"/>
      <c r="AN299" s="318"/>
      <c r="AO299" s="318"/>
      <c r="AP299" s="318"/>
    </row>
    <row r="300" spans="3:42" ht="15">
      <c r="C300" s="352"/>
      <c r="D300" s="318"/>
      <c r="E300" s="318"/>
      <c r="F300" s="318"/>
      <c r="G300" s="318"/>
      <c r="H300" s="318"/>
      <c r="I300" s="318"/>
      <c r="J300" s="318"/>
      <c r="K300" s="318"/>
      <c r="L300" s="318"/>
      <c r="M300" s="318"/>
      <c r="N300" s="318"/>
      <c r="O300" s="318"/>
      <c r="P300" s="318"/>
      <c r="Q300" s="318"/>
      <c r="R300" s="318"/>
      <c r="S300" s="318"/>
      <c r="T300" s="318"/>
      <c r="U300" s="318"/>
      <c r="V300" s="318"/>
      <c r="W300" s="318"/>
      <c r="X300" s="318"/>
      <c r="Y300" s="318"/>
      <c r="Z300" s="318"/>
      <c r="AA300" s="318"/>
      <c r="AB300" s="318"/>
      <c r="AC300" s="318"/>
      <c r="AD300" s="318"/>
      <c r="AE300" s="318"/>
      <c r="AF300" s="318"/>
      <c r="AG300" s="318"/>
      <c r="AH300" s="318"/>
      <c r="AI300" s="318"/>
      <c r="AJ300" s="318"/>
      <c r="AK300" s="318"/>
      <c r="AL300" s="318"/>
      <c r="AM300" s="318"/>
      <c r="AN300" s="318"/>
      <c r="AO300" s="318"/>
      <c r="AP300" s="318"/>
    </row>
    <row r="301" spans="3:42" ht="15">
      <c r="C301" s="352"/>
      <c r="D301" s="318"/>
      <c r="E301" s="318"/>
      <c r="F301" s="318"/>
      <c r="G301" s="318"/>
      <c r="H301" s="318"/>
      <c r="I301" s="318"/>
      <c r="J301" s="318"/>
      <c r="K301" s="318"/>
      <c r="L301" s="318"/>
      <c r="M301" s="318"/>
      <c r="N301" s="318"/>
      <c r="O301" s="318"/>
      <c r="P301" s="318"/>
      <c r="Q301" s="318"/>
      <c r="R301" s="318"/>
      <c r="S301" s="318"/>
      <c r="T301" s="318"/>
      <c r="U301" s="318"/>
      <c r="V301" s="318"/>
      <c r="W301" s="318"/>
      <c r="X301" s="318"/>
      <c r="Y301" s="318"/>
      <c r="Z301" s="318"/>
      <c r="AA301" s="318"/>
      <c r="AB301" s="318"/>
      <c r="AC301" s="318"/>
      <c r="AD301" s="318"/>
      <c r="AE301" s="318"/>
      <c r="AF301" s="318"/>
      <c r="AG301" s="318"/>
      <c r="AH301" s="318"/>
      <c r="AI301" s="318"/>
      <c r="AJ301" s="318"/>
      <c r="AK301" s="318"/>
      <c r="AL301" s="318"/>
      <c r="AM301" s="318"/>
      <c r="AN301" s="318"/>
      <c r="AO301" s="318"/>
      <c r="AP301" s="318"/>
    </row>
    <row r="302" spans="3:42" ht="15">
      <c r="C302" s="352"/>
      <c r="D302" s="318"/>
      <c r="E302" s="318"/>
      <c r="F302" s="318"/>
      <c r="G302" s="318"/>
      <c r="H302" s="318"/>
      <c r="I302" s="318"/>
      <c r="J302" s="318"/>
      <c r="K302" s="318"/>
      <c r="L302" s="318"/>
      <c r="M302" s="318"/>
      <c r="N302" s="318"/>
      <c r="O302" s="318"/>
      <c r="P302" s="318"/>
      <c r="Q302" s="318"/>
      <c r="R302" s="318"/>
      <c r="S302" s="318"/>
      <c r="T302" s="318"/>
      <c r="U302" s="318"/>
      <c r="V302" s="318"/>
      <c r="W302" s="318"/>
      <c r="X302" s="318"/>
      <c r="Y302" s="318"/>
      <c r="Z302" s="318"/>
      <c r="AA302" s="318"/>
      <c r="AB302" s="318"/>
      <c r="AC302" s="318"/>
      <c r="AD302" s="318"/>
      <c r="AE302" s="318"/>
      <c r="AF302" s="318"/>
      <c r="AG302" s="318"/>
      <c r="AH302" s="318"/>
      <c r="AI302" s="318"/>
      <c r="AJ302" s="318"/>
      <c r="AK302" s="318"/>
      <c r="AL302" s="318"/>
      <c r="AM302" s="318"/>
      <c r="AN302" s="318"/>
      <c r="AO302" s="318"/>
      <c r="AP302" s="318"/>
    </row>
    <row r="303" spans="3:42" ht="15">
      <c r="C303" s="352"/>
      <c r="D303" s="318"/>
      <c r="E303" s="318"/>
      <c r="F303" s="318"/>
      <c r="G303" s="318"/>
      <c r="H303" s="318"/>
      <c r="I303" s="318"/>
      <c r="J303" s="318"/>
      <c r="K303" s="318"/>
      <c r="L303" s="318"/>
      <c r="M303" s="318"/>
      <c r="N303" s="318"/>
      <c r="O303" s="318"/>
      <c r="P303" s="318"/>
      <c r="Q303" s="318"/>
      <c r="R303" s="318"/>
      <c r="S303" s="318"/>
      <c r="T303" s="318"/>
      <c r="U303" s="318"/>
      <c r="V303" s="318"/>
      <c r="W303" s="318"/>
      <c r="X303" s="318"/>
      <c r="Y303" s="318"/>
      <c r="Z303" s="318"/>
      <c r="AA303" s="318"/>
      <c r="AB303" s="318"/>
      <c r="AC303" s="318"/>
      <c r="AD303" s="318"/>
      <c r="AE303" s="318"/>
      <c r="AF303" s="318"/>
      <c r="AG303" s="318"/>
      <c r="AH303" s="318"/>
      <c r="AI303" s="318"/>
      <c r="AJ303" s="318"/>
      <c r="AK303" s="318"/>
      <c r="AL303" s="318"/>
      <c r="AM303" s="318"/>
      <c r="AN303" s="318"/>
      <c r="AO303" s="318"/>
      <c r="AP303" s="318"/>
    </row>
    <row r="304" spans="3:42" ht="15">
      <c r="C304" s="352"/>
      <c r="D304" s="318"/>
      <c r="E304" s="318"/>
      <c r="F304" s="318"/>
      <c r="G304" s="318"/>
      <c r="H304" s="318"/>
      <c r="I304" s="318"/>
      <c r="J304" s="318"/>
      <c r="K304" s="318"/>
      <c r="L304" s="318"/>
      <c r="M304" s="318"/>
      <c r="N304" s="318"/>
      <c r="O304" s="318"/>
      <c r="P304" s="318"/>
      <c r="Q304" s="318"/>
      <c r="R304" s="318"/>
      <c r="S304" s="318"/>
      <c r="T304" s="318"/>
      <c r="U304" s="318"/>
      <c r="V304" s="318"/>
      <c r="W304" s="318"/>
      <c r="X304" s="318"/>
      <c r="Y304" s="318"/>
      <c r="Z304" s="318"/>
      <c r="AA304" s="318"/>
      <c r="AB304" s="318"/>
      <c r="AC304" s="318"/>
      <c r="AD304" s="318"/>
      <c r="AE304" s="318"/>
      <c r="AF304" s="318"/>
      <c r="AG304" s="318"/>
      <c r="AH304" s="318"/>
      <c r="AI304" s="318"/>
      <c r="AJ304" s="318"/>
      <c r="AK304" s="318"/>
      <c r="AL304" s="318"/>
      <c r="AM304" s="318"/>
      <c r="AN304" s="318"/>
      <c r="AO304" s="318"/>
      <c r="AP304" s="318"/>
    </row>
    <row r="305" spans="3:42" ht="15">
      <c r="C305" s="352"/>
      <c r="D305" s="318"/>
      <c r="E305" s="318"/>
      <c r="F305" s="318"/>
      <c r="G305" s="318"/>
      <c r="H305" s="318"/>
      <c r="I305" s="318"/>
      <c r="J305" s="318"/>
      <c r="K305" s="318"/>
      <c r="L305" s="318"/>
      <c r="M305" s="318"/>
      <c r="N305" s="318"/>
      <c r="O305" s="318"/>
      <c r="P305" s="318"/>
      <c r="Q305" s="318"/>
      <c r="R305" s="318"/>
      <c r="S305" s="318"/>
      <c r="T305" s="318"/>
      <c r="U305" s="318"/>
      <c r="V305" s="318"/>
      <c r="W305" s="318"/>
      <c r="X305" s="318"/>
      <c r="Y305" s="318"/>
      <c r="Z305" s="318"/>
      <c r="AA305" s="318"/>
      <c r="AB305" s="318"/>
      <c r="AC305" s="318"/>
      <c r="AD305" s="318"/>
      <c r="AE305" s="318"/>
      <c r="AF305" s="318"/>
      <c r="AG305" s="318"/>
      <c r="AH305" s="318"/>
      <c r="AI305" s="318"/>
      <c r="AJ305" s="318"/>
      <c r="AK305" s="318"/>
      <c r="AL305" s="318"/>
      <c r="AM305" s="318"/>
      <c r="AN305" s="318"/>
      <c r="AO305" s="318"/>
      <c r="AP305" s="318"/>
    </row>
    <row r="306" spans="3:42" ht="15">
      <c r="C306" s="352"/>
      <c r="D306" s="318"/>
      <c r="E306" s="318"/>
      <c r="F306" s="318"/>
      <c r="G306" s="318"/>
      <c r="H306" s="318"/>
      <c r="I306" s="318"/>
      <c r="J306" s="318"/>
      <c r="K306" s="318"/>
      <c r="L306" s="318"/>
      <c r="M306" s="318"/>
      <c r="N306" s="318"/>
      <c r="O306" s="318"/>
      <c r="P306" s="318"/>
      <c r="Q306" s="318"/>
      <c r="R306" s="318"/>
      <c r="S306" s="318"/>
      <c r="T306" s="318"/>
      <c r="U306" s="318"/>
      <c r="V306" s="318"/>
      <c r="W306" s="318"/>
      <c r="X306" s="318"/>
      <c r="Y306" s="318"/>
      <c r="Z306" s="318"/>
      <c r="AA306" s="318"/>
      <c r="AB306" s="318"/>
      <c r="AC306" s="318"/>
      <c r="AD306" s="318"/>
      <c r="AE306" s="318"/>
      <c r="AF306" s="318"/>
      <c r="AG306" s="318"/>
      <c r="AH306" s="318"/>
      <c r="AI306" s="318"/>
      <c r="AJ306" s="318"/>
      <c r="AK306" s="318"/>
      <c r="AL306" s="318"/>
      <c r="AM306" s="318"/>
      <c r="AN306" s="318"/>
      <c r="AO306" s="318"/>
      <c r="AP306" s="318"/>
    </row>
    <row r="307" spans="3:42" ht="15">
      <c r="C307" s="352"/>
      <c r="D307" s="318"/>
      <c r="E307" s="318"/>
      <c r="F307" s="318"/>
      <c r="G307" s="318"/>
      <c r="H307" s="318"/>
      <c r="I307" s="318"/>
      <c r="J307" s="318"/>
      <c r="K307" s="318"/>
      <c r="L307" s="318"/>
      <c r="M307" s="318"/>
      <c r="N307" s="318"/>
      <c r="O307" s="318"/>
      <c r="P307" s="318"/>
      <c r="Q307" s="318"/>
      <c r="R307" s="318"/>
      <c r="S307" s="318"/>
      <c r="T307" s="318"/>
      <c r="U307" s="318"/>
      <c r="V307" s="318"/>
      <c r="W307" s="318"/>
      <c r="X307" s="318"/>
      <c r="Y307" s="318"/>
      <c r="Z307" s="318"/>
      <c r="AA307" s="318"/>
      <c r="AB307" s="318"/>
      <c r="AC307" s="318"/>
      <c r="AD307" s="318"/>
      <c r="AE307" s="318"/>
      <c r="AF307" s="318"/>
      <c r="AG307" s="318"/>
      <c r="AH307" s="318"/>
      <c r="AI307" s="318"/>
      <c r="AJ307" s="318"/>
      <c r="AK307" s="318"/>
      <c r="AL307" s="318"/>
      <c r="AM307" s="318"/>
      <c r="AN307" s="318"/>
      <c r="AO307" s="318"/>
      <c r="AP307" s="318"/>
    </row>
    <row r="308" spans="3:42" ht="15">
      <c r="C308" s="352"/>
      <c r="D308" s="318"/>
      <c r="E308" s="318"/>
      <c r="F308" s="318"/>
      <c r="G308" s="318"/>
      <c r="H308" s="318"/>
      <c r="I308" s="318"/>
      <c r="J308" s="318"/>
      <c r="K308" s="318"/>
      <c r="L308" s="318"/>
      <c r="M308" s="318"/>
      <c r="N308" s="318"/>
      <c r="O308" s="318"/>
      <c r="P308" s="318"/>
      <c r="Q308" s="318"/>
      <c r="R308" s="318"/>
      <c r="S308" s="318"/>
      <c r="T308" s="318"/>
      <c r="U308" s="318"/>
      <c r="V308" s="318"/>
      <c r="W308" s="318"/>
      <c r="X308" s="318"/>
      <c r="Y308" s="318"/>
      <c r="Z308" s="318"/>
      <c r="AA308" s="318"/>
      <c r="AB308" s="318"/>
      <c r="AC308" s="318"/>
      <c r="AD308" s="318"/>
      <c r="AE308" s="318"/>
      <c r="AF308" s="318"/>
      <c r="AG308" s="318"/>
      <c r="AH308" s="318"/>
      <c r="AI308" s="318"/>
      <c r="AJ308" s="318"/>
      <c r="AK308" s="318"/>
      <c r="AL308" s="318"/>
      <c r="AM308" s="318"/>
      <c r="AN308" s="318"/>
      <c r="AO308" s="318"/>
      <c r="AP308" s="318"/>
    </row>
    <row r="309" spans="3:42" ht="15">
      <c r="C309" s="352"/>
      <c r="D309" s="318"/>
      <c r="E309" s="318"/>
      <c r="F309" s="318"/>
      <c r="G309" s="318"/>
      <c r="H309" s="318"/>
      <c r="I309" s="318"/>
      <c r="J309" s="318"/>
      <c r="K309" s="318"/>
      <c r="L309" s="318"/>
      <c r="M309" s="318"/>
      <c r="N309" s="318"/>
      <c r="O309" s="318"/>
      <c r="P309" s="318"/>
      <c r="Q309" s="318"/>
      <c r="R309" s="318"/>
      <c r="S309" s="318"/>
      <c r="T309" s="318"/>
      <c r="U309" s="318"/>
      <c r="V309" s="318"/>
      <c r="W309" s="318"/>
      <c r="X309" s="318"/>
      <c r="Y309" s="318"/>
      <c r="Z309" s="318"/>
      <c r="AA309" s="318"/>
      <c r="AB309" s="318"/>
      <c r="AC309" s="318"/>
      <c r="AD309" s="318"/>
      <c r="AE309" s="318"/>
      <c r="AF309" s="318"/>
      <c r="AG309" s="318"/>
      <c r="AH309" s="318"/>
      <c r="AI309" s="318"/>
      <c r="AJ309" s="318"/>
      <c r="AK309" s="318"/>
      <c r="AL309" s="318"/>
      <c r="AM309" s="318"/>
      <c r="AN309" s="318"/>
      <c r="AO309" s="318"/>
      <c r="AP309" s="318"/>
    </row>
    <row r="310" spans="3:42" ht="15">
      <c r="C310" s="352"/>
      <c r="D310" s="318"/>
      <c r="E310" s="318"/>
      <c r="F310" s="318"/>
      <c r="G310" s="318"/>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row>
    <row r="311" spans="3:42" ht="15">
      <c r="C311" s="352"/>
      <c r="D311" s="318"/>
      <c r="E311" s="318"/>
      <c r="F311" s="318"/>
      <c r="G311" s="318"/>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row>
    <row r="312" spans="3:42" ht="15">
      <c r="C312" s="352"/>
      <c r="D312" s="318"/>
      <c r="E312" s="318"/>
      <c r="F312" s="318"/>
      <c r="G312" s="318"/>
      <c r="H312" s="318"/>
      <c r="I312" s="318"/>
      <c r="J312" s="318"/>
      <c r="K312" s="318"/>
      <c r="L312" s="318"/>
      <c r="M312" s="318"/>
      <c r="N312" s="318"/>
      <c r="O312" s="318"/>
      <c r="P312" s="318"/>
      <c r="Q312" s="318"/>
      <c r="R312" s="318"/>
      <c r="S312" s="318"/>
      <c r="T312" s="318"/>
      <c r="U312" s="318"/>
      <c r="V312" s="318"/>
      <c r="W312" s="318"/>
      <c r="X312" s="318"/>
      <c r="Y312" s="318"/>
      <c r="Z312" s="318"/>
      <c r="AA312" s="318"/>
      <c r="AB312" s="318"/>
      <c r="AC312" s="318"/>
      <c r="AD312" s="318"/>
      <c r="AE312" s="318"/>
      <c r="AF312" s="318"/>
      <c r="AG312" s="318"/>
      <c r="AH312" s="318"/>
      <c r="AI312" s="318"/>
      <c r="AJ312" s="318"/>
      <c r="AK312" s="318"/>
      <c r="AL312" s="318"/>
      <c r="AM312" s="318"/>
      <c r="AN312" s="318"/>
      <c r="AO312" s="318"/>
      <c r="AP312" s="318"/>
    </row>
    <row r="313" spans="3:42" ht="15">
      <c r="C313" s="352"/>
      <c r="D313" s="318"/>
      <c r="E313" s="318"/>
      <c r="F313" s="318"/>
      <c r="G313" s="318"/>
      <c r="H313" s="318"/>
      <c r="I313" s="318"/>
      <c r="J313" s="318"/>
      <c r="K313" s="318"/>
      <c r="L313" s="318"/>
      <c r="M313" s="318"/>
      <c r="N313" s="318"/>
      <c r="O313" s="318"/>
      <c r="P313" s="318"/>
      <c r="Q313" s="318"/>
      <c r="R313" s="318"/>
      <c r="S313" s="318"/>
      <c r="T313" s="318"/>
      <c r="U313" s="318"/>
      <c r="V313" s="318"/>
      <c r="W313" s="318"/>
      <c r="X313" s="318"/>
      <c r="Y313" s="318"/>
      <c r="Z313" s="318"/>
      <c r="AA313" s="318"/>
      <c r="AB313" s="318"/>
      <c r="AC313" s="318"/>
      <c r="AD313" s="318"/>
      <c r="AE313" s="318"/>
      <c r="AF313" s="318"/>
      <c r="AG313" s="318"/>
      <c r="AH313" s="318"/>
      <c r="AI313" s="318"/>
      <c r="AJ313" s="318"/>
      <c r="AK313" s="318"/>
      <c r="AL313" s="318"/>
      <c r="AM313" s="318"/>
      <c r="AN313" s="318"/>
      <c r="AO313" s="318"/>
      <c r="AP313" s="318"/>
    </row>
    <row r="314" spans="3:42" ht="15">
      <c r="C314" s="352"/>
      <c r="D314" s="318"/>
      <c r="E314" s="318"/>
      <c r="F314" s="318"/>
      <c r="G314" s="318"/>
      <c r="H314" s="318"/>
      <c r="I314" s="318"/>
      <c r="J314" s="318"/>
      <c r="K314" s="318"/>
      <c r="L314" s="318"/>
      <c r="M314" s="318"/>
      <c r="N314" s="318"/>
      <c r="O314" s="318"/>
      <c r="P314" s="318"/>
      <c r="Q314" s="318"/>
      <c r="R314" s="318"/>
      <c r="S314" s="318"/>
      <c r="T314" s="318"/>
      <c r="U314" s="318"/>
      <c r="V314" s="318"/>
      <c r="W314" s="318"/>
      <c r="X314" s="318"/>
      <c r="Y314" s="318"/>
      <c r="Z314" s="318"/>
      <c r="AA314" s="318"/>
      <c r="AB314" s="318"/>
      <c r="AC314" s="318"/>
      <c r="AD314" s="318"/>
      <c r="AE314" s="318"/>
      <c r="AF314" s="318"/>
      <c r="AG314" s="318"/>
      <c r="AH314" s="318"/>
      <c r="AI314" s="318"/>
      <c r="AJ314" s="318"/>
      <c r="AK314" s="318"/>
      <c r="AL314" s="318"/>
      <c r="AM314" s="318"/>
      <c r="AN314" s="318"/>
      <c r="AO314" s="318"/>
      <c r="AP314" s="318"/>
    </row>
    <row r="315" spans="3:42" ht="15">
      <c r="C315" s="352"/>
      <c r="D315" s="318"/>
      <c r="E315" s="318"/>
      <c r="F315" s="318"/>
      <c r="G315" s="318"/>
      <c r="H315" s="318"/>
      <c r="I315" s="318"/>
      <c r="J315" s="318"/>
      <c r="K315" s="318"/>
      <c r="L315" s="318"/>
      <c r="M315" s="318"/>
      <c r="N315" s="318"/>
      <c r="O315" s="318"/>
      <c r="P315" s="318"/>
      <c r="Q315" s="318"/>
      <c r="R315" s="318"/>
      <c r="S315" s="318"/>
      <c r="T315" s="318"/>
      <c r="U315" s="318"/>
      <c r="V315" s="318"/>
      <c r="W315" s="318"/>
      <c r="X315" s="318"/>
      <c r="Y315" s="318"/>
      <c r="Z315" s="318"/>
      <c r="AA315" s="318"/>
      <c r="AB315" s="318"/>
      <c r="AC315" s="318"/>
      <c r="AD315" s="318"/>
      <c r="AE315" s="318"/>
      <c r="AF315" s="318"/>
      <c r="AG315" s="318"/>
      <c r="AH315" s="318"/>
      <c r="AI315" s="318"/>
      <c r="AJ315" s="318"/>
      <c r="AK315" s="318"/>
      <c r="AL315" s="318"/>
      <c r="AM315" s="318"/>
      <c r="AN315" s="318"/>
      <c r="AO315" s="318"/>
      <c r="AP315" s="318"/>
    </row>
    <row r="316" spans="3:42" ht="15">
      <c r="C316" s="352"/>
      <c r="D316" s="318"/>
      <c r="E316" s="318"/>
      <c r="F316" s="318"/>
      <c r="G316" s="318"/>
      <c r="H316" s="318"/>
      <c r="I316" s="318"/>
      <c r="J316" s="318"/>
      <c r="K316" s="318"/>
      <c r="L316" s="318"/>
      <c r="M316" s="318"/>
      <c r="N316" s="318"/>
      <c r="O316" s="318"/>
      <c r="P316" s="318"/>
      <c r="Q316" s="318"/>
      <c r="R316" s="318"/>
      <c r="S316" s="318"/>
      <c r="T316" s="318"/>
      <c r="U316" s="318"/>
      <c r="V316" s="318"/>
      <c r="W316" s="318"/>
      <c r="X316" s="318"/>
      <c r="Y316" s="318"/>
      <c r="Z316" s="318"/>
      <c r="AA316" s="318"/>
      <c r="AB316" s="318"/>
      <c r="AC316" s="318"/>
      <c r="AD316" s="318"/>
      <c r="AE316" s="318"/>
      <c r="AF316" s="318"/>
      <c r="AG316" s="318"/>
      <c r="AH316" s="318"/>
      <c r="AI316" s="318"/>
      <c r="AJ316" s="318"/>
      <c r="AK316" s="318"/>
      <c r="AL316" s="318"/>
      <c r="AM316" s="318"/>
      <c r="AN316" s="318"/>
      <c r="AO316" s="318"/>
      <c r="AP316" s="318"/>
    </row>
    <row r="317" spans="3:42" ht="15">
      <c r="C317" s="352"/>
      <c r="D317" s="318"/>
      <c r="E317" s="318"/>
      <c r="F317" s="318"/>
      <c r="G317" s="318"/>
      <c r="H317" s="318"/>
      <c r="I317" s="318"/>
      <c r="J317" s="318"/>
      <c r="K317" s="318"/>
      <c r="L317" s="318"/>
      <c r="M317" s="318"/>
      <c r="N317" s="318"/>
      <c r="O317" s="318"/>
      <c r="P317" s="318"/>
      <c r="Q317" s="318"/>
      <c r="R317" s="318"/>
      <c r="S317" s="318"/>
      <c r="T317" s="318"/>
      <c r="U317" s="318"/>
      <c r="V317" s="318"/>
      <c r="W317" s="318"/>
      <c r="X317" s="318"/>
      <c r="Y317" s="318"/>
      <c r="Z317" s="318"/>
      <c r="AA317" s="318"/>
      <c r="AB317" s="318"/>
      <c r="AC317" s="318"/>
      <c r="AD317" s="318"/>
      <c r="AE317" s="318"/>
      <c r="AF317" s="318"/>
      <c r="AG317" s="318"/>
      <c r="AH317" s="318"/>
      <c r="AI317" s="318"/>
      <c r="AJ317" s="318"/>
      <c r="AK317" s="318"/>
      <c r="AL317" s="318"/>
      <c r="AM317" s="318"/>
      <c r="AN317" s="318"/>
      <c r="AO317" s="318"/>
      <c r="AP317" s="318"/>
    </row>
    <row r="318" spans="3:42" ht="15">
      <c r="C318" s="352"/>
      <c r="D318" s="318"/>
      <c r="E318" s="318"/>
      <c r="F318" s="318"/>
      <c r="G318" s="318"/>
      <c r="H318" s="318"/>
      <c r="I318" s="318"/>
      <c r="J318" s="318"/>
      <c r="K318" s="318"/>
      <c r="L318" s="318"/>
      <c r="M318" s="318"/>
      <c r="N318" s="318"/>
      <c r="O318" s="318"/>
      <c r="P318" s="318"/>
      <c r="Q318" s="318"/>
      <c r="R318" s="318"/>
      <c r="S318" s="318"/>
      <c r="T318" s="318"/>
      <c r="U318" s="318"/>
      <c r="V318" s="318"/>
      <c r="W318" s="318"/>
      <c r="X318" s="318"/>
      <c r="Y318" s="318"/>
      <c r="Z318" s="318"/>
      <c r="AA318" s="318"/>
      <c r="AB318" s="318"/>
      <c r="AC318" s="318"/>
      <c r="AD318" s="318"/>
      <c r="AE318" s="318"/>
      <c r="AF318" s="318"/>
      <c r="AG318" s="318"/>
      <c r="AH318" s="318"/>
      <c r="AI318" s="318"/>
      <c r="AJ318" s="318"/>
      <c r="AK318" s="318"/>
      <c r="AL318" s="318"/>
      <c r="AM318" s="318"/>
      <c r="AN318" s="318"/>
      <c r="AO318" s="318"/>
      <c r="AP318" s="318"/>
    </row>
    <row r="319" spans="3:42" ht="15">
      <c r="C319" s="352"/>
      <c r="D319" s="318"/>
      <c r="E319" s="318"/>
      <c r="F319" s="318"/>
      <c r="G319" s="318"/>
      <c r="H319" s="318"/>
      <c r="I319" s="318"/>
      <c r="J319" s="318"/>
      <c r="K319" s="318"/>
      <c r="L319" s="318"/>
      <c r="M319" s="318"/>
      <c r="N319" s="318"/>
      <c r="O319" s="318"/>
      <c r="P319" s="318"/>
      <c r="Q319" s="318"/>
      <c r="R319" s="318"/>
      <c r="S319" s="318"/>
      <c r="T319" s="318"/>
      <c r="U319" s="318"/>
      <c r="V319" s="318"/>
      <c r="W319" s="318"/>
      <c r="X319" s="318"/>
      <c r="Y319" s="318"/>
      <c r="Z319" s="318"/>
      <c r="AA319" s="318"/>
      <c r="AB319" s="318"/>
      <c r="AC319" s="318"/>
      <c r="AD319" s="318"/>
      <c r="AE319" s="318"/>
      <c r="AF319" s="318"/>
      <c r="AG319" s="318"/>
      <c r="AH319" s="318"/>
      <c r="AI319" s="318"/>
      <c r="AJ319" s="318"/>
      <c r="AK319" s="318"/>
      <c r="AL319" s="318"/>
      <c r="AM319" s="318"/>
      <c r="AN319" s="318"/>
      <c r="AO319" s="318"/>
      <c r="AP319" s="318"/>
    </row>
    <row r="320" spans="3:42" ht="15">
      <c r="C320" s="352"/>
      <c r="D320" s="318"/>
      <c r="E320" s="318"/>
      <c r="F320" s="318"/>
      <c r="G320" s="318"/>
      <c r="H320" s="318"/>
      <c r="I320" s="318"/>
      <c r="J320" s="318"/>
      <c r="K320" s="318"/>
      <c r="L320" s="318"/>
      <c r="M320" s="318"/>
      <c r="N320" s="318"/>
      <c r="O320" s="318"/>
      <c r="P320" s="318"/>
      <c r="Q320" s="318"/>
      <c r="R320" s="318"/>
      <c r="S320" s="318"/>
      <c r="T320" s="318"/>
      <c r="U320" s="318"/>
      <c r="V320" s="318"/>
      <c r="W320" s="318"/>
      <c r="X320" s="318"/>
      <c r="Y320" s="318"/>
      <c r="Z320" s="318"/>
      <c r="AA320" s="318"/>
      <c r="AB320" s="318"/>
      <c r="AC320" s="318"/>
      <c r="AD320" s="318"/>
      <c r="AE320" s="318"/>
      <c r="AF320" s="318"/>
      <c r="AG320" s="318"/>
      <c r="AH320" s="318"/>
      <c r="AI320" s="318"/>
      <c r="AJ320" s="318"/>
      <c r="AK320" s="318"/>
      <c r="AL320" s="318"/>
      <c r="AM320" s="318"/>
      <c r="AN320" s="318"/>
      <c r="AO320" s="318"/>
      <c r="AP320" s="318"/>
    </row>
    <row r="321" spans="3:42" ht="15">
      <c r="C321" s="352"/>
      <c r="D321" s="318"/>
      <c r="E321" s="318"/>
      <c r="F321" s="318"/>
      <c r="G321" s="318"/>
      <c r="H321" s="318"/>
      <c r="I321" s="318"/>
      <c r="J321" s="318"/>
      <c r="K321" s="318"/>
      <c r="L321" s="318"/>
      <c r="M321" s="318"/>
      <c r="N321" s="318"/>
      <c r="O321" s="318"/>
      <c r="P321" s="318"/>
      <c r="Q321" s="318"/>
      <c r="R321" s="318"/>
      <c r="S321" s="318"/>
      <c r="T321" s="318"/>
      <c r="U321" s="318"/>
      <c r="V321" s="318"/>
      <c r="W321" s="318"/>
      <c r="X321" s="318"/>
      <c r="Y321" s="318"/>
      <c r="Z321" s="318"/>
      <c r="AA321" s="318"/>
      <c r="AB321" s="318"/>
      <c r="AC321" s="318"/>
      <c r="AD321" s="318"/>
      <c r="AE321" s="318"/>
      <c r="AF321" s="318"/>
      <c r="AG321" s="318"/>
      <c r="AH321" s="318"/>
      <c r="AI321" s="318"/>
      <c r="AJ321" s="318"/>
      <c r="AK321" s="318"/>
      <c r="AL321" s="318"/>
      <c r="AM321" s="318"/>
      <c r="AN321" s="318"/>
      <c r="AO321" s="318"/>
      <c r="AP321" s="318"/>
    </row>
    <row r="322" spans="3:42" ht="15">
      <c r="C322" s="352"/>
      <c r="D322" s="318"/>
      <c r="E322" s="318"/>
      <c r="F322" s="318"/>
      <c r="G322" s="318"/>
      <c r="H322" s="318"/>
      <c r="I322" s="318"/>
      <c r="J322" s="318"/>
      <c r="K322" s="318"/>
      <c r="L322" s="318"/>
      <c r="M322" s="318"/>
      <c r="N322" s="318"/>
      <c r="O322" s="318"/>
      <c r="P322" s="318"/>
      <c r="Q322" s="318"/>
      <c r="R322" s="318"/>
      <c r="S322" s="318"/>
      <c r="T322" s="318"/>
      <c r="U322" s="318"/>
      <c r="V322" s="318"/>
      <c r="W322" s="318"/>
      <c r="X322" s="318"/>
      <c r="Y322" s="318"/>
      <c r="Z322" s="318"/>
      <c r="AA322" s="318"/>
      <c r="AB322" s="318"/>
      <c r="AC322" s="318"/>
      <c r="AD322" s="318"/>
      <c r="AE322" s="318"/>
      <c r="AF322" s="318"/>
      <c r="AG322" s="318"/>
      <c r="AH322" s="318"/>
      <c r="AI322" s="318"/>
      <c r="AJ322" s="318"/>
      <c r="AK322" s="318"/>
      <c r="AL322" s="318"/>
      <c r="AM322" s="318"/>
      <c r="AN322" s="318"/>
      <c r="AO322" s="318"/>
      <c r="AP322" s="318"/>
    </row>
    <row r="323" spans="3:42" ht="15">
      <c r="C323" s="352"/>
      <c r="D323" s="318"/>
      <c r="E323" s="318"/>
      <c r="F323" s="318"/>
      <c r="G323" s="318"/>
      <c r="H323" s="318"/>
      <c r="I323" s="318"/>
      <c r="J323" s="318"/>
      <c r="K323" s="318"/>
      <c r="L323" s="318"/>
      <c r="M323" s="318"/>
      <c r="N323" s="318"/>
      <c r="O323" s="318"/>
      <c r="P323" s="318"/>
      <c r="Q323" s="318"/>
      <c r="R323" s="318"/>
      <c r="S323" s="318"/>
      <c r="T323" s="318"/>
      <c r="U323" s="318"/>
      <c r="V323" s="318"/>
      <c r="W323" s="318"/>
      <c r="X323" s="318"/>
      <c r="Y323" s="318"/>
      <c r="Z323" s="318"/>
      <c r="AA323" s="318"/>
      <c r="AB323" s="318"/>
      <c r="AC323" s="318"/>
      <c r="AD323" s="318"/>
      <c r="AE323" s="318"/>
      <c r="AF323" s="318"/>
      <c r="AG323" s="318"/>
      <c r="AH323" s="318"/>
      <c r="AI323" s="318"/>
      <c r="AJ323" s="318"/>
      <c r="AK323" s="318"/>
      <c r="AL323" s="318"/>
      <c r="AM323" s="318"/>
      <c r="AN323" s="318"/>
      <c r="AO323" s="318"/>
      <c r="AP323" s="318"/>
    </row>
    <row r="324" spans="3:42" ht="15">
      <c r="C324" s="352"/>
      <c r="D324" s="318"/>
      <c r="E324" s="318"/>
      <c r="F324" s="318"/>
      <c r="G324" s="318"/>
      <c r="H324" s="318"/>
      <c r="I324" s="318"/>
      <c r="J324" s="318"/>
      <c r="K324" s="318"/>
      <c r="L324" s="318"/>
      <c r="M324" s="318"/>
      <c r="N324" s="318"/>
      <c r="O324" s="318"/>
      <c r="P324" s="318"/>
      <c r="Q324" s="318"/>
      <c r="R324" s="318"/>
      <c r="S324" s="318"/>
      <c r="T324" s="318"/>
      <c r="U324" s="318"/>
      <c r="V324" s="318"/>
      <c r="W324" s="318"/>
      <c r="X324" s="318"/>
      <c r="Y324" s="318"/>
      <c r="Z324" s="318"/>
      <c r="AA324" s="318"/>
      <c r="AB324" s="318"/>
      <c r="AC324" s="318"/>
      <c r="AD324" s="318"/>
      <c r="AE324" s="318"/>
      <c r="AF324" s="318"/>
      <c r="AG324" s="318"/>
      <c r="AH324" s="318"/>
      <c r="AI324" s="318"/>
      <c r="AJ324" s="318"/>
      <c r="AK324" s="318"/>
      <c r="AL324" s="318"/>
      <c r="AM324" s="318"/>
      <c r="AN324" s="318"/>
      <c r="AO324" s="318"/>
      <c r="AP324" s="318"/>
    </row>
    <row r="325" spans="3:42" ht="15">
      <c r="C325" s="352"/>
      <c r="D325" s="318"/>
      <c r="E325" s="318"/>
      <c r="F325" s="318"/>
      <c r="G325" s="318"/>
      <c r="H325" s="318"/>
      <c r="I325" s="318"/>
      <c r="J325" s="318"/>
      <c r="K325" s="318"/>
      <c r="L325" s="318"/>
      <c r="M325" s="318"/>
      <c r="N325" s="318"/>
      <c r="O325" s="318"/>
      <c r="P325" s="318"/>
      <c r="Q325" s="318"/>
      <c r="R325" s="318"/>
      <c r="S325" s="318"/>
      <c r="T325" s="318"/>
      <c r="U325" s="318"/>
      <c r="V325" s="318"/>
      <c r="W325" s="318"/>
      <c r="X325" s="318"/>
      <c r="Y325" s="318"/>
      <c r="Z325" s="318"/>
      <c r="AA325" s="318"/>
      <c r="AB325" s="318"/>
      <c r="AC325" s="318"/>
      <c r="AD325" s="318"/>
      <c r="AE325" s="318"/>
      <c r="AF325" s="318"/>
      <c r="AG325" s="318"/>
      <c r="AH325" s="318"/>
      <c r="AI325" s="318"/>
      <c r="AJ325" s="318"/>
      <c r="AK325" s="318"/>
      <c r="AL325" s="318"/>
      <c r="AM325" s="318"/>
      <c r="AN325" s="318"/>
      <c r="AO325" s="318"/>
      <c r="AP325" s="318"/>
    </row>
    <row r="326" spans="3:42" ht="15">
      <c r="C326" s="352"/>
      <c r="D326" s="318"/>
      <c r="E326" s="318"/>
      <c r="F326" s="318"/>
      <c r="G326" s="318"/>
      <c r="H326" s="318"/>
      <c r="I326" s="318"/>
      <c r="J326" s="318"/>
      <c r="K326" s="318"/>
      <c r="L326" s="318"/>
      <c r="M326" s="318"/>
      <c r="N326" s="318"/>
      <c r="O326" s="318"/>
      <c r="P326" s="318"/>
      <c r="Q326" s="318"/>
      <c r="R326" s="318"/>
      <c r="S326" s="318"/>
      <c r="T326" s="318"/>
      <c r="U326" s="318"/>
      <c r="V326" s="318"/>
      <c r="W326" s="318"/>
      <c r="X326" s="318"/>
      <c r="Y326" s="318"/>
      <c r="Z326" s="318"/>
      <c r="AA326" s="318"/>
      <c r="AB326" s="318"/>
      <c r="AC326" s="318"/>
      <c r="AD326" s="318"/>
      <c r="AE326" s="318"/>
      <c r="AF326" s="318"/>
      <c r="AG326" s="318"/>
      <c r="AH326" s="318"/>
      <c r="AI326" s="318"/>
      <c r="AJ326" s="318"/>
      <c r="AK326" s="318"/>
      <c r="AL326" s="318"/>
      <c r="AM326" s="318"/>
      <c r="AN326" s="318"/>
      <c r="AO326" s="318"/>
      <c r="AP326" s="318"/>
    </row>
    <row r="327" spans="3:42" ht="15">
      <c r="C327" s="352"/>
      <c r="D327" s="318"/>
      <c r="E327" s="318"/>
      <c r="F327" s="318"/>
      <c r="G327" s="318"/>
      <c r="H327" s="318"/>
      <c r="I327" s="318"/>
      <c r="J327" s="318"/>
      <c r="K327" s="318"/>
      <c r="L327" s="318"/>
      <c r="M327" s="318"/>
      <c r="N327" s="318"/>
      <c r="O327" s="318"/>
      <c r="P327" s="318"/>
      <c r="Q327" s="318"/>
      <c r="R327" s="318"/>
      <c r="S327" s="318"/>
      <c r="T327" s="318"/>
      <c r="U327" s="318"/>
      <c r="V327" s="318"/>
      <c r="W327" s="318"/>
      <c r="X327" s="318"/>
      <c r="Y327" s="318"/>
      <c r="Z327" s="318"/>
      <c r="AA327" s="318"/>
      <c r="AB327" s="318"/>
      <c r="AC327" s="318"/>
      <c r="AD327" s="318"/>
      <c r="AE327" s="318"/>
      <c r="AF327" s="318"/>
      <c r="AG327" s="318"/>
      <c r="AH327" s="318"/>
      <c r="AI327" s="318"/>
      <c r="AJ327" s="318"/>
      <c r="AK327" s="318"/>
      <c r="AL327" s="318"/>
      <c r="AM327" s="318"/>
      <c r="AN327" s="318"/>
      <c r="AO327" s="318"/>
      <c r="AP327" s="318"/>
    </row>
    <row r="328" spans="3:42" ht="15">
      <c r="C328" s="352"/>
      <c r="D328" s="318"/>
      <c r="E328" s="318"/>
      <c r="F328" s="318"/>
      <c r="G328" s="318"/>
      <c r="H328" s="318"/>
      <c r="I328" s="318"/>
      <c r="J328" s="318"/>
      <c r="K328" s="318"/>
      <c r="L328" s="318"/>
      <c r="M328" s="318"/>
      <c r="N328" s="318"/>
      <c r="O328" s="318"/>
      <c r="P328" s="318"/>
      <c r="Q328" s="318"/>
      <c r="R328" s="318"/>
      <c r="S328" s="318"/>
      <c r="T328" s="318"/>
      <c r="U328" s="318"/>
      <c r="V328" s="318"/>
      <c r="W328" s="318"/>
      <c r="X328" s="318"/>
      <c r="Y328" s="318"/>
      <c r="Z328" s="318"/>
      <c r="AA328" s="318"/>
      <c r="AB328" s="318"/>
      <c r="AC328" s="318"/>
      <c r="AD328" s="318"/>
      <c r="AE328" s="318"/>
      <c r="AF328" s="318"/>
      <c r="AG328" s="318"/>
      <c r="AH328" s="318"/>
      <c r="AI328" s="318"/>
      <c r="AJ328" s="318"/>
      <c r="AK328" s="318"/>
      <c r="AL328" s="318"/>
      <c r="AM328" s="318"/>
      <c r="AN328" s="318"/>
      <c r="AO328" s="318"/>
      <c r="AP328" s="318"/>
    </row>
    <row r="329" spans="3:42" ht="15">
      <c r="C329" s="352"/>
      <c r="D329" s="318"/>
      <c r="E329" s="318"/>
      <c r="F329" s="318"/>
      <c r="G329" s="318"/>
      <c r="H329" s="318"/>
      <c r="I329" s="318"/>
      <c r="J329" s="318"/>
      <c r="K329" s="318"/>
      <c r="L329" s="318"/>
      <c r="M329" s="318"/>
      <c r="N329" s="318"/>
      <c r="O329" s="318"/>
      <c r="P329" s="318"/>
      <c r="Q329" s="318"/>
      <c r="R329" s="318"/>
      <c r="S329" s="318"/>
      <c r="T329" s="318"/>
      <c r="U329" s="318"/>
      <c r="V329" s="318"/>
      <c r="W329" s="318"/>
      <c r="X329" s="318"/>
      <c r="Y329" s="318"/>
      <c r="Z329" s="318"/>
      <c r="AA329" s="318"/>
      <c r="AB329" s="318"/>
      <c r="AC329" s="318"/>
      <c r="AD329" s="318"/>
      <c r="AE329" s="318"/>
      <c r="AF329" s="318"/>
      <c r="AG329" s="318"/>
      <c r="AH329" s="318"/>
      <c r="AI329" s="318"/>
      <c r="AJ329" s="318"/>
      <c r="AK329" s="318"/>
      <c r="AL329" s="318"/>
      <c r="AM329" s="318"/>
      <c r="AN329" s="318"/>
      <c r="AO329" s="318"/>
      <c r="AP329" s="318"/>
    </row>
    <row r="330" spans="3:42" ht="15">
      <c r="C330" s="352"/>
      <c r="D330" s="318"/>
      <c r="E330" s="318"/>
      <c r="F330" s="318"/>
      <c r="G330" s="318"/>
      <c r="H330" s="318"/>
      <c r="I330" s="318"/>
      <c r="J330" s="318"/>
      <c r="K330" s="318"/>
      <c r="L330" s="318"/>
      <c r="M330" s="318"/>
      <c r="N330" s="318"/>
      <c r="O330" s="318"/>
      <c r="P330" s="318"/>
      <c r="Q330" s="318"/>
      <c r="R330" s="318"/>
      <c r="S330" s="318"/>
      <c r="T330" s="318"/>
      <c r="U330" s="318"/>
      <c r="V330" s="318"/>
      <c r="W330" s="318"/>
      <c r="X330" s="318"/>
      <c r="Y330" s="318"/>
      <c r="Z330" s="318"/>
      <c r="AA330" s="318"/>
      <c r="AB330" s="318"/>
      <c r="AC330" s="318"/>
      <c r="AD330" s="318"/>
      <c r="AE330" s="318"/>
      <c r="AF330" s="318"/>
      <c r="AG330" s="318"/>
      <c r="AH330" s="318"/>
      <c r="AI330" s="318"/>
      <c r="AJ330" s="318"/>
      <c r="AK330" s="318"/>
      <c r="AL330" s="318"/>
      <c r="AM330" s="318"/>
      <c r="AN330" s="318"/>
      <c r="AO330" s="318"/>
      <c r="AP330" s="318"/>
    </row>
    <row r="331" spans="3:42" ht="15">
      <c r="C331" s="352"/>
      <c r="D331" s="318"/>
      <c r="E331" s="318"/>
      <c r="F331" s="318"/>
      <c r="G331" s="318"/>
      <c r="H331" s="318"/>
      <c r="I331" s="318"/>
      <c r="J331" s="318"/>
      <c r="K331" s="318"/>
      <c r="L331" s="318"/>
      <c r="M331" s="318"/>
      <c r="N331" s="318"/>
      <c r="O331" s="318"/>
      <c r="P331" s="318"/>
      <c r="Q331" s="318"/>
      <c r="R331" s="318"/>
      <c r="S331" s="318"/>
      <c r="T331" s="318"/>
      <c r="U331" s="318"/>
      <c r="V331" s="318"/>
      <c r="W331" s="318"/>
      <c r="X331" s="318"/>
      <c r="Y331" s="318"/>
      <c r="Z331" s="318"/>
      <c r="AA331" s="318"/>
      <c r="AB331" s="318"/>
      <c r="AC331" s="318"/>
      <c r="AD331" s="318"/>
      <c r="AE331" s="318"/>
      <c r="AF331" s="318"/>
      <c r="AG331" s="318"/>
      <c r="AH331" s="318"/>
      <c r="AI331" s="318"/>
      <c r="AJ331" s="318"/>
      <c r="AK331" s="318"/>
      <c r="AL331" s="318"/>
      <c r="AM331" s="318"/>
      <c r="AN331" s="318"/>
      <c r="AO331" s="318"/>
      <c r="AP331" s="318"/>
    </row>
    <row r="332" spans="3:42" ht="15">
      <c r="C332" s="352"/>
      <c r="D332" s="318"/>
      <c r="E332" s="318"/>
      <c r="F332" s="318"/>
      <c r="G332" s="318"/>
      <c r="H332" s="318"/>
      <c r="I332" s="318"/>
      <c r="J332" s="318"/>
      <c r="K332" s="318"/>
      <c r="L332" s="318"/>
      <c r="M332" s="318"/>
      <c r="N332" s="318"/>
      <c r="O332" s="318"/>
      <c r="P332" s="318"/>
      <c r="Q332" s="318"/>
      <c r="R332" s="318"/>
      <c r="S332" s="318"/>
      <c r="T332" s="318"/>
      <c r="U332" s="318"/>
      <c r="V332" s="318"/>
      <c r="W332" s="318"/>
      <c r="X332" s="318"/>
      <c r="Y332" s="318"/>
      <c r="Z332" s="318"/>
      <c r="AA332" s="318"/>
      <c r="AB332" s="318"/>
      <c r="AC332" s="318"/>
      <c r="AD332" s="318"/>
      <c r="AE332" s="318"/>
      <c r="AF332" s="318"/>
      <c r="AG332" s="318"/>
      <c r="AH332" s="318"/>
      <c r="AI332" s="318"/>
      <c r="AJ332" s="318"/>
      <c r="AK332" s="318"/>
      <c r="AL332" s="318"/>
      <c r="AM332" s="318"/>
      <c r="AN332" s="318"/>
      <c r="AO332" s="318"/>
      <c r="AP332" s="318"/>
    </row>
    <row r="333" spans="3:42" ht="15">
      <c r="C333" s="352"/>
      <c r="D333" s="318"/>
      <c r="E333" s="318"/>
      <c r="F333" s="318"/>
      <c r="G333" s="318"/>
      <c r="H333" s="318"/>
      <c r="I333" s="318"/>
      <c r="J333" s="318"/>
      <c r="K333" s="318"/>
      <c r="L333" s="318"/>
      <c r="M333" s="318"/>
      <c r="N333" s="318"/>
      <c r="O333" s="318"/>
      <c r="P333" s="318"/>
      <c r="Q333" s="318"/>
      <c r="R333" s="318"/>
      <c r="S333" s="318"/>
      <c r="T333" s="318"/>
      <c r="U333" s="318"/>
      <c r="V333" s="318"/>
      <c r="W333" s="318"/>
      <c r="X333" s="318"/>
      <c r="Y333" s="318"/>
      <c r="Z333" s="318"/>
      <c r="AA333" s="318"/>
      <c r="AB333" s="318"/>
      <c r="AC333" s="318"/>
      <c r="AD333" s="318"/>
      <c r="AE333" s="318"/>
      <c r="AF333" s="318"/>
      <c r="AG333" s="318"/>
      <c r="AH333" s="318"/>
      <c r="AI333" s="318"/>
      <c r="AJ333" s="318"/>
      <c r="AK333" s="318"/>
      <c r="AL333" s="318"/>
      <c r="AM333" s="318"/>
      <c r="AN333" s="318"/>
      <c r="AO333" s="318"/>
      <c r="AP333" s="318"/>
    </row>
    <row r="334" spans="3:42" ht="15">
      <c r="C334" s="352"/>
      <c r="D334" s="318"/>
      <c r="E334" s="318"/>
      <c r="F334" s="318"/>
      <c r="G334" s="318"/>
      <c r="H334" s="318"/>
      <c r="I334" s="318"/>
      <c r="J334" s="318"/>
      <c r="K334" s="318"/>
      <c r="L334" s="318"/>
      <c r="M334" s="318"/>
      <c r="N334" s="318"/>
      <c r="O334" s="318"/>
      <c r="P334" s="318"/>
      <c r="Q334" s="318"/>
      <c r="R334" s="318"/>
      <c r="S334" s="318"/>
      <c r="T334" s="318"/>
      <c r="U334" s="318"/>
      <c r="V334" s="318"/>
      <c r="W334" s="318"/>
      <c r="X334" s="318"/>
      <c r="Y334" s="318"/>
      <c r="Z334" s="318"/>
      <c r="AA334" s="318"/>
      <c r="AB334" s="318"/>
      <c r="AC334" s="318"/>
      <c r="AD334" s="318"/>
      <c r="AE334" s="318"/>
      <c r="AF334" s="318"/>
      <c r="AG334" s="318"/>
      <c r="AH334" s="318"/>
      <c r="AI334" s="318"/>
      <c r="AJ334" s="318"/>
      <c r="AK334" s="318"/>
      <c r="AL334" s="318"/>
      <c r="AM334" s="318"/>
      <c r="AN334" s="318"/>
      <c r="AO334" s="318"/>
      <c r="AP334" s="318"/>
    </row>
    <row r="335" spans="3:42" ht="15">
      <c r="C335" s="352"/>
      <c r="D335" s="318"/>
      <c r="E335" s="318"/>
      <c r="F335" s="318"/>
      <c r="G335" s="318"/>
      <c r="H335" s="318"/>
      <c r="I335" s="318"/>
      <c r="J335" s="318"/>
      <c r="K335" s="318"/>
      <c r="L335" s="318"/>
      <c r="M335" s="318"/>
      <c r="N335" s="318"/>
      <c r="O335" s="318"/>
      <c r="P335" s="318"/>
      <c r="Q335" s="318"/>
      <c r="R335" s="318"/>
      <c r="S335" s="318"/>
      <c r="T335" s="318"/>
      <c r="U335" s="318"/>
      <c r="V335" s="318"/>
      <c r="W335" s="318"/>
      <c r="X335" s="318"/>
      <c r="Y335" s="318"/>
      <c r="Z335" s="318"/>
      <c r="AA335" s="318"/>
      <c r="AB335" s="318"/>
      <c r="AC335" s="318"/>
      <c r="AD335" s="318"/>
      <c r="AE335" s="318"/>
      <c r="AF335" s="318"/>
      <c r="AG335" s="318"/>
      <c r="AH335" s="318"/>
      <c r="AI335" s="318"/>
      <c r="AJ335" s="318"/>
      <c r="AK335" s="318"/>
      <c r="AL335" s="318"/>
      <c r="AM335" s="318"/>
      <c r="AN335" s="318"/>
      <c r="AO335" s="318"/>
      <c r="AP335" s="318"/>
    </row>
    <row r="336" spans="3:42" ht="15">
      <c r="C336" s="352"/>
      <c r="D336" s="318"/>
      <c r="E336" s="318"/>
      <c r="F336" s="318"/>
      <c r="G336" s="318"/>
      <c r="H336" s="318"/>
      <c r="I336" s="318"/>
      <c r="J336" s="318"/>
      <c r="K336" s="318"/>
      <c r="L336" s="318"/>
      <c r="M336" s="318"/>
      <c r="N336" s="318"/>
      <c r="O336" s="318"/>
      <c r="P336" s="318"/>
      <c r="Q336" s="318"/>
      <c r="R336" s="318"/>
      <c r="S336" s="318"/>
      <c r="T336" s="318"/>
      <c r="U336" s="318"/>
      <c r="V336" s="318"/>
      <c r="W336" s="318"/>
      <c r="X336" s="318"/>
      <c r="Y336" s="318"/>
      <c r="Z336" s="318"/>
      <c r="AA336" s="318"/>
      <c r="AB336" s="318"/>
      <c r="AC336" s="318"/>
      <c r="AD336" s="318"/>
      <c r="AE336" s="318"/>
      <c r="AF336" s="318"/>
      <c r="AG336" s="318"/>
      <c r="AH336" s="318"/>
      <c r="AI336" s="318"/>
      <c r="AJ336" s="318"/>
      <c r="AK336" s="318"/>
      <c r="AL336" s="318"/>
      <c r="AM336" s="318"/>
      <c r="AN336" s="318"/>
      <c r="AO336" s="318"/>
      <c r="AP336" s="318"/>
    </row>
    <row r="337" spans="3:42" ht="15">
      <c r="C337" s="352"/>
      <c r="D337" s="318"/>
      <c r="E337" s="318"/>
      <c r="F337" s="318"/>
      <c r="G337" s="318"/>
      <c r="H337" s="318"/>
      <c r="I337" s="318"/>
      <c r="J337" s="318"/>
      <c r="K337" s="318"/>
      <c r="L337" s="318"/>
      <c r="M337" s="318"/>
      <c r="N337" s="318"/>
      <c r="O337" s="318"/>
      <c r="P337" s="318"/>
      <c r="Q337" s="318"/>
      <c r="R337" s="318"/>
      <c r="S337" s="318"/>
      <c r="T337" s="318"/>
      <c r="U337" s="318"/>
      <c r="V337" s="318"/>
      <c r="W337" s="318"/>
      <c r="X337" s="318"/>
      <c r="Y337" s="318"/>
      <c r="Z337" s="318"/>
      <c r="AA337" s="318"/>
      <c r="AB337" s="318"/>
      <c r="AC337" s="318"/>
      <c r="AD337" s="318"/>
      <c r="AE337" s="318"/>
      <c r="AF337" s="318"/>
      <c r="AG337" s="318"/>
      <c r="AH337" s="318"/>
      <c r="AI337" s="318"/>
      <c r="AJ337" s="318"/>
      <c r="AK337" s="318"/>
      <c r="AL337" s="318"/>
      <c r="AM337" s="318"/>
      <c r="AN337" s="318"/>
      <c r="AO337" s="318"/>
      <c r="AP337" s="318"/>
    </row>
    <row r="338" spans="3:42" ht="15">
      <c r="C338" s="352"/>
      <c r="D338" s="318"/>
      <c r="E338" s="318"/>
      <c r="F338" s="318"/>
      <c r="G338" s="318"/>
      <c r="H338" s="318"/>
      <c r="I338" s="318"/>
      <c r="J338" s="318"/>
      <c r="K338" s="318"/>
      <c r="L338" s="318"/>
      <c r="M338" s="318"/>
      <c r="N338" s="318"/>
      <c r="O338" s="318"/>
      <c r="P338" s="318"/>
      <c r="Q338" s="318"/>
      <c r="R338" s="318"/>
      <c r="S338" s="318"/>
      <c r="T338" s="318"/>
      <c r="U338" s="318"/>
      <c r="V338" s="318"/>
      <c r="W338" s="318"/>
      <c r="X338" s="318"/>
      <c r="Y338" s="318"/>
      <c r="Z338" s="318"/>
      <c r="AA338" s="318"/>
      <c r="AB338" s="318"/>
      <c r="AC338" s="318"/>
      <c r="AD338" s="318"/>
      <c r="AE338" s="318"/>
      <c r="AF338" s="318"/>
      <c r="AG338" s="318"/>
      <c r="AH338" s="318"/>
      <c r="AI338" s="318"/>
      <c r="AJ338" s="318"/>
      <c r="AK338" s="318"/>
      <c r="AL338" s="318"/>
      <c r="AM338" s="318"/>
      <c r="AN338" s="318"/>
      <c r="AO338" s="318"/>
      <c r="AP338" s="318"/>
    </row>
    <row r="339" spans="3:42" ht="15">
      <c r="C339" s="352"/>
      <c r="D339" s="318"/>
      <c r="E339" s="318"/>
      <c r="F339" s="318"/>
      <c r="G339" s="318"/>
      <c r="H339" s="318"/>
      <c r="I339" s="318"/>
      <c r="J339" s="318"/>
      <c r="K339" s="318"/>
      <c r="L339" s="318"/>
      <c r="M339" s="318"/>
      <c r="N339" s="318"/>
      <c r="O339" s="318"/>
      <c r="P339" s="318"/>
      <c r="Q339" s="318"/>
      <c r="R339" s="318"/>
      <c r="S339" s="318"/>
      <c r="T339" s="318"/>
      <c r="U339" s="318"/>
      <c r="V339" s="318"/>
      <c r="W339" s="318"/>
      <c r="X339" s="318"/>
      <c r="Y339" s="318"/>
      <c r="Z339" s="318"/>
      <c r="AA339" s="318"/>
      <c r="AB339" s="318"/>
      <c r="AC339" s="318"/>
      <c r="AD339" s="318"/>
      <c r="AE339" s="318"/>
      <c r="AF339" s="318"/>
      <c r="AG339" s="318"/>
      <c r="AH339" s="318"/>
      <c r="AI339" s="318"/>
      <c r="AJ339" s="318"/>
      <c r="AK339" s="318"/>
      <c r="AL339" s="318"/>
      <c r="AM339" s="318"/>
      <c r="AN339" s="318"/>
      <c r="AO339" s="318"/>
      <c r="AP339" s="318"/>
    </row>
    <row r="340" spans="3:42" ht="15">
      <c r="C340" s="352"/>
      <c r="D340" s="318"/>
      <c r="E340" s="318"/>
      <c r="F340" s="318"/>
      <c r="G340" s="318"/>
      <c r="H340" s="318"/>
      <c r="I340" s="318"/>
      <c r="J340" s="318"/>
      <c r="K340" s="318"/>
      <c r="L340" s="318"/>
      <c r="M340" s="318"/>
      <c r="N340" s="318"/>
      <c r="O340" s="318"/>
      <c r="P340" s="318"/>
      <c r="Q340" s="318"/>
      <c r="R340" s="318"/>
      <c r="S340" s="318"/>
      <c r="T340" s="318"/>
      <c r="U340" s="318"/>
      <c r="V340" s="318"/>
      <c r="W340" s="318"/>
      <c r="X340" s="318"/>
      <c r="Y340" s="318"/>
      <c r="Z340" s="318"/>
      <c r="AA340" s="318"/>
      <c r="AB340" s="318"/>
      <c r="AC340" s="318"/>
      <c r="AD340" s="318"/>
      <c r="AE340" s="318"/>
      <c r="AF340" s="318"/>
      <c r="AG340" s="318"/>
      <c r="AH340" s="318"/>
      <c r="AI340" s="318"/>
      <c r="AJ340" s="318"/>
      <c r="AK340" s="318"/>
      <c r="AL340" s="318"/>
      <c r="AM340" s="318"/>
      <c r="AN340" s="318"/>
      <c r="AO340" s="318"/>
      <c r="AP340" s="318"/>
    </row>
    <row r="341" spans="3:42" ht="15">
      <c r="C341" s="352"/>
      <c r="D341" s="318"/>
      <c r="E341" s="318"/>
      <c r="F341" s="318"/>
      <c r="G341" s="318"/>
      <c r="H341" s="318"/>
      <c r="I341" s="318"/>
      <c r="J341" s="318"/>
      <c r="K341" s="318"/>
      <c r="L341" s="318"/>
      <c r="M341" s="318"/>
      <c r="N341" s="318"/>
      <c r="O341" s="318"/>
      <c r="P341" s="318"/>
      <c r="Q341" s="318"/>
      <c r="R341" s="318"/>
      <c r="S341" s="318"/>
      <c r="T341" s="318"/>
      <c r="U341" s="318"/>
      <c r="V341" s="318"/>
      <c r="W341" s="318"/>
      <c r="X341" s="318"/>
      <c r="Y341" s="318"/>
      <c r="Z341" s="318"/>
      <c r="AA341" s="318"/>
      <c r="AB341" s="318"/>
      <c r="AC341" s="318"/>
      <c r="AD341" s="318"/>
      <c r="AE341" s="318"/>
      <c r="AF341" s="318"/>
      <c r="AG341" s="318"/>
      <c r="AH341" s="318"/>
      <c r="AI341" s="318"/>
      <c r="AJ341" s="318"/>
      <c r="AK341" s="318"/>
      <c r="AL341" s="318"/>
      <c r="AM341" s="318"/>
      <c r="AN341" s="318"/>
      <c r="AO341" s="318"/>
      <c r="AP341" s="318"/>
    </row>
    <row r="342" spans="3:42" ht="15">
      <c r="C342" s="352"/>
      <c r="D342" s="318"/>
      <c r="E342" s="318"/>
      <c r="F342" s="318"/>
      <c r="G342" s="318"/>
      <c r="H342" s="318"/>
      <c r="I342" s="318"/>
      <c r="J342" s="318"/>
      <c r="K342" s="318"/>
      <c r="L342" s="318"/>
      <c r="M342" s="318"/>
      <c r="N342" s="318"/>
      <c r="O342" s="318"/>
      <c r="P342" s="318"/>
      <c r="Q342" s="318"/>
      <c r="R342" s="318"/>
      <c r="S342" s="318"/>
      <c r="T342" s="318"/>
      <c r="U342" s="318"/>
      <c r="V342" s="318"/>
      <c r="W342" s="318"/>
      <c r="X342" s="318"/>
      <c r="Y342" s="318"/>
      <c r="Z342" s="318"/>
      <c r="AA342" s="318"/>
      <c r="AB342" s="318"/>
      <c r="AC342" s="318"/>
      <c r="AD342" s="318"/>
      <c r="AE342" s="318"/>
      <c r="AF342" s="318"/>
      <c r="AG342" s="318"/>
      <c r="AH342" s="318"/>
      <c r="AI342" s="318"/>
      <c r="AJ342" s="318"/>
      <c r="AK342" s="318"/>
      <c r="AL342" s="318"/>
      <c r="AM342" s="318"/>
      <c r="AN342" s="318"/>
      <c r="AO342" s="318"/>
      <c r="AP342" s="318"/>
    </row>
    <row r="343" spans="3:42" ht="15">
      <c r="C343" s="352"/>
      <c r="D343" s="318"/>
      <c r="E343" s="318"/>
      <c r="F343" s="318"/>
      <c r="G343" s="318"/>
      <c r="H343" s="318"/>
      <c r="I343" s="318"/>
      <c r="J343" s="318"/>
      <c r="K343" s="318"/>
      <c r="L343" s="318"/>
      <c r="M343" s="318"/>
      <c r="N343" s="318"/>
      <c r="O343" s="318"/>
      <c r="P343" s="318"/>
      <c r="Q343" s="318"/>
      <c r="R343" s="318"/>
      <c r="S343" s="318"/>
      <c r="T343" s="318"/>
      <c r="U343" s="318"/>
      <c r="V343" s="318"/>
      <c r="W343" s="318"/>
      <c r="X343" s="318"/>
      <c r="Y343" s="318"/>
      <c r="Z343" s="318"/>
      <c r="AA343" s="318"/>
      <c r="AB343" s="318"/>
      <c r="AC343" s="318"/>
      <c r="AD343" s="318"/>
      <c r="AE343" s="318"/>
      <c r="AF343" s="318"/>
      <c r="AG343" s="318"/>
      <c r="AH343" s="318"/>
      <c r="AI343" s="318"/>
      <c r="AJ343" s="318"/>
      <c r="AK343" s="318"/>
      <c r="AL343" s="318"/>
      <c r="AM343" s="318"/>
      <c r="AN343" s="318"/>
      <c r="AO343" s="318"/>
      <c r="AP343" s="318"/>
    </row>
    <row r="344" spans="3:42" ht="15">
      <c r="C344" s="352"/>
      <c r="D344" s="318"/>
      <c r="E344" s="318"/>
      <c r="F344" s="318"/>
      <c r="G344" s="318"/>
      <c r="H344" s="318"/>
      <c r="I344" s="318"/>
      <c r="J344" s="318"/>
      <c r="K344" s="318"/>
      <c r="L344" s="318"/>
      <c r="M344" s="318"/>
      <c r="N344" s="318"/>
      <c r="O344" s="318"/>
      <c r="P344" s="318"/>
      <c r="Q344" s="318"/>
      <c r="R344" s="318"/>
      <c r="S344" s="318"/>
      <c r="T344" s="318"/>
      <c r="U344" s="318"/>
      <c r="V344" s="318"/>
      <c r="W344" s="318"/>
      <c r="X344" s="318"/>
      <c r="Y344" s="318"/>
      <c r="Z344" s="318"/>
      <c r="AA344" s="318"/>
      <c r="AB344" s="318"/>
      <c r="AC344" s="318"/>
      <c r="AD344" s="318"/>
      <c r="AE344" s="318"/>
      <c r="AF344" s="318"/>
      <c r="AG344" s="318"/>
      <c r="AH344" s="318"/>
      <c r="AI344" s="318"/>
      <c r="AJ344" s="318"/>
      <c r="AK344" s="318"/>
      <c r="AL344" s="318"/>
      <c r="AM344" s="318"/>
      <c r="AN344" s="318"/>
      <c r="AO344" s="318"/>
      <c r="AP344" s="318"/>
    </row>
    <row r="345" spans="3:42" ht="15">
      <c r="C345" s="352"/>
      <c r="D345" s="318"/>
      <c r="E345" s="318"/>
      <c r="F345" s="318"/>
      <c r="G345" s="318"/>
      <c r="H345" s="318"/>
      <c r="I345" s="318"/>
      <c r="J345" s="318"/>
      <c r="K345" s="318"/>
      <c r="L345" s="318"/>
      <c r="M345" s="318"/>
      <c r="N345" s="318"/>
      <c r="O345" s="318"/>
      <c r="P345" s="318"/>
      <c r="Q345" s="318"/>
      <c r="R345" s="318"/>
      <c r="S345" s="318"/>
      <c r="T345" s="318"/>
      <c r="U345" s="318"/>
      <c r="V345" s="318"/>
      <c r="W345" s="318"/>
      <c r="X345" s="318"/>
      <c r="Y345" s="318"/>
      <c r="Z345" s="318"/>
      <c r="AA345" s="318"/>
      <c r="AB345" s="318"/>
      <c r="AC345" s="318"/>
      <c r="AD345" s="318"/>
      <c r="AE345" s="318"/>
      <c r="AF345" s="318"/>
      <c r="AG345" s="318"/>
      <c r="AH345" s="318"/>
      <c r="AI345" s="318"/>
      <c r="AJ345" s="318"/>
      <c r="AK345" s="318"/>
      <c r="AL345" s="318"/>
      <c r="AM345" s="318"/>
      <c r="AN345" s="318"/>
      <c r="AO345" s="318"/>
      <c r="AP345" s="318"/>
    </row>
    <row r="346" spans="3:42" ht="15">
      <c r="C346" s="352"/>
      <c r="D346" s="318"/>
      <c r="E346" s="318"/>
      <c r="F346" s="318"/>
      <c r="G346" s="318"/>
      <c r="H346" s="318"/>
      <c r="I346" s="318"/>
      <c r="J346" s="318"/>
      <c r="K346" s="318"/>
      <c r="L346" s="318"/>
      <c r="M346" s="318"/>
      <c r="N346" s="318"/>
      <c r="O346" s="318"/>
      <c r="P346" s="318"/>
      <c r="Q346" s="318"/>
      <c r="R346" s="318"/>
      <c r="S346" s="318"/>
      <c r="T346" s="318"/>
      <c r="U346" s="318"/>
      <c r="V346" s="318"/>
      <c r="W346" s="318"/>
      <c r="X346" s="318"/>
      <c r="Y346" s="318"/>
      <c r="Z346" s="318"/>
      <c r="AA346" s="318"/>
      <c r="AB346" s="318"/>
      <c r="AC346" s="318"/>
      <c r="AD346" s="318"/>
      <c r="AE346" s="318"/>
      <c r="AF346" s="318"/>
      <c r="AG346" s="318"/>
      <c r="AH346" s="318"/>
      <c r="AI346" s="318"/>
      <c r="AJ346" s="318"/>
      <c r="AK346" s="318"/>
      <c r="AL346" s="318"/>
      <c r="AM346" s="318"/>
      <c r="AN346" s="318"/>
      <c r="AO346" s="318"/>
      <c r="AP346" s="318"/>
    </row>
    <row r="347" spans="3:42" ht="15">
      <c r="C347" s="352"/>
      <c r="D347" s="318"/>
      <c r="E347" s="318"/>
      <c r="F347" s="318"/>
      <c r="G347" s="318"/>
      <c r="H347" s="318"/>
      <c r="I347" s="318"/>
      <c r="J347" s="318"/>
      <c r="K347" s="318"/>
      <c r="L347" s="318"/>
      <c r="M347" s="318"/>
      <c r="N347" s="318"/>
      <c r="O347" s="318"/>
      <c r="P347" s="318"/>
      <c r="Q347" s="318"/>
      <c r="R347" s="318"/>
      <c r="S347" s="318"/>
      <c r="T347" s="318"/>
      <c r="U347" s="318"/>
      <c r="V347" s="318"/>
      <c r="W347" s="318"/>
      <c r="X347" s="318"/>
      <c r="Y347" s="318"/>
      <c r="Z347" s="318"/>
      <c r="AA347" s="318"/>
      <c r="AB347" s="318"/>
      <c r="AC347" s="318"/>
      <c r="AD347" s="318"/>
      <c r="AE347" s="318"/>
      <c r="AF347" s="318"/>
      <c r="AG347" s="318"/>
      <c r="AH347" s="318"/>
      <c r="AI347" s="318"/>
      <c r="AJ347" s="318"/>
      <c r="AK347" s="318"/>
      <c r="AL347" s="318"/>
      <c r="AM347" s="318"/>
      <c r="AN347" s="318"/>
      <c r="AO347" s="318"/>
      <c r="AP347" s="318"/>
    </row>
    <row r="348" spans="3:42" ht="15">
      <c r="C348" s="352"/>
      <c r="D348" s="318"/>
      <c r="E348" s="318"/>
      <c r="F348" s="318"/>
      <c r="G348" s="318"/>
      <c r="H348" s="318"/>
      <c r="I348" s="318"/>
      <c r="J348" s="318"/>
      <c r="K348" s="318"/>
      <c r="L348" s="318"/>
      <c r="M348" s="318"/>
      <c r="N348" s="318"/>
      <c r="O348" s="318"/>
      <c r="P348" s="318"/>
      <c r="Q348" s="318"/>
      <c r="R348" s="318"/>
      <c r="S348" s="318"/>
      <c r="T348" s="318"/>
      <c r="U348" s="318"/>
      <c r="V348" s="318"/>
      <c r="W348" s="318"/>
      <c r="X348" s="318"/>
      <c r="Y348" s="318"/>
      <c r="Z348" s="318"/>
      <c r="AA348" s="318"/>
      <c r="AB348" s="318"/>
      <c r="AC348" s="318"/>
      <c r="AD348" s="318"/>
      <c r="AE348" s="318"/>
      <c r="AF348" s="318"/>
      <c r="AG348" s="318"/>
      <c r="AH348" s="318"/>
      <c r="AI348" s="318"/>
      <c r="AJ348" s="318"/>
      <c r="AK348" s="318"/>
      <c r="AL348" s="318"/>
      <c r="AM348" s="318"/>
      <c r="AN348" s="318"/>
      <c r="AO348" s="318"/>
      <c r="AP348" s="318"/>
    </row>
    <row r="349" spans="3:42" ht="15">
      <c r="C349" s="352"/>
      <c r="D349" s="318"/>
      <c r="E349" s="318"/>
      <c r="F349" s="318"/>
      <c r="G349" s="318"/>
      <c r="H349" s="318"/>
      <c r="I349" s="318"/>
      <c r="J349" s="318"/>
      <c r="K349" s="318"/>
      <c r="L349" s="318"/>
      <c r="M349" s="318"/>
      <c r="N349" s="318"/>
      <c r="O349" s="318"/>
      <c r="P349" s="318"/>
      <c r="Q349" s="318"/>
      <c r="R349" s="318"/>
      <c r="S349" s="318"/>
      <c r="T349" s="318"/>
      <c r="U349" s="318"/>
      <c r="V349" s="318"/>
      <c r="W349" s="318"/>
      <c r="X349" s="318"/>
      <c r="Y349" s="318"/>
      <c r="Z349" s="318"/>
      <c r="AA349" s="318"/>
      <c r="AB349" s="318"/>
      <c r="AC349" s="318"/>
      <c r="AD349" s="318"/>
      <c r="AE349" s="318"/>
      <c r="AF349" s="318"/>
      <c r="AG349" s="318"/>
      <c r="AH349" s="318"/>
      <c r="AI349" s="318"/>
      <c r="AJ349" s="318"/>
      <c r="AK349" s="318"/>
      <c r="AL349" s="318"/>
      <c r="AM349" s="318"/>
      <c r="AN349" s="318"/>
      <c r="AO349" s="318"/>
      <c r="AP349" s="318"/>
    </row>
    <row r="350" spans="3:42" ht="15">
      <c r="C350" s="352"/>
      <c r="D350" s="318"/>
      <c r="E350" s="318"/>
      <c r="F350" s="318"/>
      <c r="G350" s="318"/>
      <c r="H350" s="318"/>
      <c r="I350" s="318"/>
      <c r="J350" s="318"/>
      <c r="K350" s="318"/>
      <c r="L350" s="318"/>
      <c r="M350" s="318"/>
      <c r="N350" s="318"/>
      <c r="O350" s="318"/>
      <c r="P350" s="318"/>
      <c r="Q350" s="318"/>
      <c r="R350" s="318"/>
      <c r="S350" s="318"/>
      <c r="T350" s="318"/>
      <c r="U350" s="318"/>
      <c r="V350" s="318"/>
      <c r="W350" s="318"/>
      <c r="X350" s="318"/>
      <c r="Y350" s="318"/>
      <c r="Z350" s="318"/>
      <c r="AA350" s="318"/>
      <c r="AB350" s="318"/>
      <c r="AC350" s="318"/>
      <c r="AD350" s="318"/>
      <c r="AE350" s="318"/>
      <c r="AF350" s="318"/>
      <c r="AG350" s="318"/>
      <c r="AH350" s="318"/>
      <c r="AI350" s="318"/>
      <c r="AJ350" s="318"/>
      <c r="AK350" s="318"/>
      <c r="AL350" s="318"/>
      <c r="AM350" s="318"/>
      <c r="AN350" s="318"/>
      <c r="AO350" s="318"/>
      <c r="AP350" s="318"/>
    </row>
    <row r="351" spans="3:42" ht="15">
      <c r="C351" s="352"/>
      <c r="D351" s="318"/>
      <c r="E351" s="318"/>
      <c r="F351" s="318"/>
      <c r="G351" s="318"/>
      <c r="H351" s="318"/>
      <c r="I351" s="318"/>
      <c r="J351" s="318"/>
      <c r="K351" s="318"/>
      <c r="L351" s="318"/>
      <c r="M351" s="318"/>
      <c r="N351" s="318"/>
      <c r="O351" s="318"/>
      <c r="P351" s="318"/>
      <c r="Q351" s="318"/>
      <c r="R351" s="318"/>
      <c r="S351" s="318"/>
      <c r="T351" s="318"/>
      <c r="U351" s="318"/>
      <c r="V351" s="318"/>
      <c r="W351" s="318"/>
      <c r="X351" s="318"/>
      <c r="Y351" s="318"/>
      <c r="Z351" s="318"/>
      <c r="AA351" s="318"/>
      <c r="AB351" s="318"/>
      <c r="AC351" s="318"/>
      <c r="AD351" s="318"/>
      <c r="AE351" s="318"/>
      <c r="AF351" s="318"/>
      <c r="AG351" s="318"/>
      <c r="AH351" s="318"/>
      <c r="AI351" s="318"/>
      <c r="AJ351" s="318"/>
      <c r="AK351" s="318"/>
      <c r="AL351" s="318"/>
      <c r="AM351" s="318"/>
      <c r="AN351" s="318"/>
      <c r="AO351" s="318"/>
      <c r="AP351" s="318"/>
    </row>
    <row r="352" spans="3:42" ht="15">
      <c r="C352" s="352"/>
      <c r="D352" s="318"/>
      <c r="E352" s="318"/>
      <c r="F352" s="318"/>
      <c r="G352" s="318"/>
      <c r="H352" s="318"/>
      <c r="I352" s="318"/>
      <c r="J352" s="318"/>
      <c r="K352" s="318"/>
      <c r="L352" s="318"/>
      <c r="M352" s="318"/>
      <c r="N352" s="318"/>
      <c r="O352" s="318"/>
      <c r="P352" s="318"/>
      <c r="Q352" s="318"/>
      <c r="R352" s="318"/>
      <c r="S352" s="318"/>
      <c r="T352" s="318"/>
      <c r="U352" s="318"/>
      <c r="V352" s="318"/>
      <c r="W352" s="318"/>
      <c r="X352" s="318"/>
      <c r="Y352" s="318"/>
      <c r="Z352" s="318"/>
      <c r="AA352" s="318"/>
      <c r="AB352" s="318"/>
      <c r="AC352" s="318"/>
      <c r="AD352" s="318"/>
      <c r="AE352" s="318"/>
      <c r="AF352" s="318"/>
      <c r="AG352" s="318"/>
      <c r="AH352" s="318"/>
      <c r="AI352" s="318"/>
      <c r="AJ352" s="318"/>
      <c r="AK352" s="318"/>
      <c r="AL352" s="318"/>
      <c r="AM352" s="318"/>
      <c r="AN352" s="318"/>
      <c r="AO352" s="318"/>
      <c r="AP352" s="318"/>
    </row>
    <row r="353" spans="3:42" ht="15">
      <c r="C353" s="352"/>
      <c r="D353" s="318"/>
      <c r="E353" s="318"/>
      <c r="F353" s="318"/>
      <c r="G353" s="318"/>
      <c r="H353" s="318"/>
      <c r="I353" s="318"/>
      <c r="J353" s="318"/>
      <c r="K353" s="318"/>
      <c r="L353" s="318"/>
      <c r="M353" s="318"/>
      <c r="N353" s="318"/>
      <c r="O353" s="318"/>
      <c r="P353" s="318"/>
      <c r="Q353" s="318"/>
      <c r="R353" s="318"/>
      <c r="S353" s="318"/>
      <c r="T353" s="318"/>
      <c r="U353" s="318"/>
      <c r="V353" s="318"/>
      <c r="W353" s="318"/>
      <c r="X353" s="318"/>
      <c r="Y353" s="318"/>
      <c r="Z353" s="318"/>
      <c r="AA353" s="318"/>
      <c r="AB353" s="318"/>
      <c r="AC353" s="318"/>
      <c r="AD353" s="318"/>
      <c r="AE353" s="318"/>
      <c r="AF353" s="318"/>
      <c r="AG353" s="318"/>
      <c r="AH353" s="318"/>
      <c r="AI353" s="318"/>
      <c r="AJ353" s="318"/>
      <c r="AK353" s="318"/>
      <c r="AL353" s="318"/>
      <c r="AM353" s="318"/>
      <c r="AN353" s="318"/>
      <c r="AO353" s="318"/>
      <c r="AP353" s="318"/>
    </row>
    <row r="354" spans="3:42" ht="15">
      <c r="C354" s="352"/>
      <c r="D354" s="318"/>
      <c r="E354" s="318"/>
      <c r="F354" s="318"/>
      <c r="G354" s="318"/>
      <c r="H354" s="318"/>
      <c r="I354" s="318"/>
      <c r="J354" s="318"/>
      <c r="K354" s="318"/>
      <c r="L354" s="318"/>
      <c r="M354" s="318"/>
      <c r="N354" s="318"/>
      <c r="O354" s="318"/>
      <c r="P354" s="318"/>
      <c r="Q354" s="318"/>
      <c r="R354" s="318"/>
      <c r="S354" s="318"/>
      <c r="T354" s="318"/>
      <c r="U354" s="318"/>
      <c r="V354" s="318"/>
      <c r="W354" s="318"/>
      <c r="X354" s="318"/>
      <c r="Y354" s="318"/>
      <c r="Z354" s="318"/>
      <c r="AA354" s="318"/>
      <c r="AB354" s="318"/>
      <c r="AC354" s="318"/>
      <c r="AD354" s="318"/>
      <c r="AE354" s="318"/>
      <c r="AF354" s="318"/>
      <c r="AG354" s="318"/>
      <c r="AH354" s="318"/>
      <c r="AI354" s="318"/>
      <c r="AJ354" s="318"/>
      <c r="AK354" s="318"/>
      <c r="AL354" s="318"/>
      <c r="AM354" s="318"/>
      <c r="AN354" s="318"/>
      <c r="AO354" s="318"/>
      <c r="AP354" s="318"/>
    </row>
    <row r="355" spans="3:42" ht="15">
      <c r="C355" s="352"/>
      <c r="D355" s="318"/>
      <c r="E355" s="318"/>
      <c r="F355" s="318"/>
      <c r="G355" s="318"/>
      <c r="H355" s="318"/>
      <c r="I355" s="318"/>
      <c r="J355" s="318"/>
      <c r="K355" s="318"/>
      <c r="L355" s="318"/>
      <c r="M355" s="318"/>
      <c r="N355" s="318"/>
      <c r="O355" s="318"/>
      <c r="P355" s="318"/>
      <c r="Q355" s="318"/>
      <c r="R355" s="318"/>
      <c r="S355" s="318"/>
      <c r="T355" s="318"/>
      <c r="U355" s="318"/>
      <c r="V355" s="318"/>
      <c r="W355" s="318"/>
      <c r="X355" s="318"/>
      <c r="Y355" s="318"/>
      <c r="Z355" s="318"/>
      <c r="AA355" s="318"/>
      <c r="AB355" s="318"/>
      <c r="AC355" s="318"/>
      <c r="AD355" s="318"/>
      <c r="AE355" s="318"/>
      <c r="AF355" s="318"/>
      <c r="AG355" s="318"/>
      <c r="AH355" s="318"/>
      <c r="AI355" s="318"/>
      <c r="AJ355" s="318"/>
      <c r="AK355" s="318"/>
      <c r="AL355" s="318"/>
      <c r="AM355" s="318"/>
      <c r="AN355" s="318"/>
      <c r="AO355" s="318"/>
      <c r="AP355" s="318"/>
    </row>
    <row r="356" spans="3:42" ht="15">
      <c r="C356" s="352"/>
      <c r="D356" s="318"/>
      <c r="E356" s="318"/>
      <c r="F356" s="318"/>
      <c r="G356" s="318"/>
      <c r="H356" s="318"/>
      <c r="I356" s="318"/>
      <c r="J356" s="318"/>
      <c r="K356" s="318"/>
      <c r="L356" s="318"/>
      <c r="M356" s="318"/>
      <c r="N356" s="318"/>
      <c r="O356" s="318"/>
      <c r="P356" s="318"/>
      <c r="Q356" s="318"/>
      <c r="R356" s="318"/>
      <c r="S356" s="318"/>
      <c r="T356" s="318"/>
      <c r="U356" s="318"/>
      <c r="V356" s="318"/>
      <c r="W356" s="318"/>
      <c r="X356" s="318"/>
      <c r="Y356" s="318"/>
      <c r="Z356" s="318"/>
      <c r="AA356" s="318"/>
      <c r="AB356" s="318"/>
      <c r="AC356" s="318"/>
      <c r="AD356" s="318"/>
      <c r="AE356" s="318"/>
      <c r="AF356" s="318"/>
      <c r="AG356" s="318"/>
      <c r="AH356" s="318"/>
      <c r="AI356" s="318"/>
      <c r="AJ356" s="318"/>
      <c r="AK356" s="318"/>
      <c r="AL356" s="318"/>
      <c r="AM356" s="318"/>
      <c r="AN356" s="318"/>
      <c r="AO356" s="318"/>
      <c r="AP356" s="318"/>
    </row>
    <row r="357" spans="3:42" ht="15">
      <c r="C357" s="352"/>
      <c r="D357" s="318"/>
      <c r="E357" s="318"/>
      <c r="F357" s="318"/>
      <c r="G357" s="318"/>
      <c r="H357" s="318"/>
      <c r="I357" s="318"/>
      <c r="J357" s="318"/>
      <c r="K357" s="318"/>
      <c r="L357" s="318"/>
      <c r="M357" s="318"/>
      <c r="N357" s="318"/>
      <c r="O357" s="318"/>
      <c r="P357" s="318"/>
      <c r="Q357" s="318"/>
      <c r="R357" s="318"/>
      <c r="S357" s="318"/>
      <c r="T357" s="318"/>
      <c r="U357" s="318"/>
      <c r="V357" s="318"/>
      <c r="W357" s="318"/>
      <c r="X357" s="318"/>
      <c r="Y357" s="318"/>
      <c r="Z357" s="318"/>
      <c r="AA357" s="318"/>
      <c r="AB357" s="318"/>
      <c r="AC357" s="318"/>
      <c r="AD357" s="318"/>
      <c r="AE357" s="318"/>
      <c r="AF357" s="318"/>
      <c r="AG357" s="318"/>
      <c r="AH357" s="318"/>
      <c r="AI357" s="318"/>
      <c r="AJ357" s="318"/>
      <c r="AK357" s="318"/>
      <c r="AL357" s="318"/>
      <c r="AM357" s="318"/>
      <c r="AN357" s="318"/>
      <c r="AO357" s="318"/>
      <c r="AP357" s="318"/>
    </row>
    <row r="358" spans="3:42" ht="15">
      <c r="C358" s="352"/>
      <c r="D358" s="318"/>
      <c r="E358" s="318"/>
      <c r="F358" s="318"/>
      <c r="G358" s="318"/>
      <c r="H358" s="318"/>
      <c r="I358" s="318"/>
      <c r="J358" s="318"/>
      <c r="K358" s="318"/>
      <c r="L358" s="318"/>
      <c r="M358" s="318"/>
      <c r="N358" s="318"/>
      <c r="O358" s="318"/>
      <c r="P358" s="318"/>
      <c r="Q358" s="318"/>
      <c r="R358" s="318"/>
      <c r="S358" s="318"/>
      <c r="T358" s="318"/>
      <c r="U358" s="318"/>
      <c r="V358" s="318"/>
      <c r="W358" s="318"/>
      <c r="X358" s="318"/>
      <c r="Y358" s="318"/>
      <c r="Z358" s="318"/>
      <c r="AA358" s="318"/>
      <c r="AB358" s="318"/>
      <c r="AC358" s="318"/>
      <c r="AD358" s="318"/>
      <c r="AE358" s="318"/>
      <c r="AF358" s="318"/>
      <c r="AG358" s="318"/>
      <c r="AH358" s="318"/>
      <c r="AI358" s="318"/>
      <c r="AJ358" s="318"/>
      <c r="AK358" s="318"/>
      <c r="AL358" s="318"/>
      <c r="AM358" s="318"/>
      <c r="AN358" s="318"/>
      <c r="AO358" s="318"/>
      <c r="AP358" s="318"/>
    </row>
    <row r="359" spans="3:42" ht="15">
      <c r="C359" s="352"/>
      <c r="D359" s="318"/>
      <c r="E359" s="318"/>
      <c r="F359" s="318"/>
      <c r="G359" s="318"/>
      <c r="H359" s="318"/>
      <c r="I359" s="318"/>
      <c r="J359" s="318"/>
      <c r="K359" s="318"/>
      <c r="L359" s="318"/>
      <c r="M359" s="318"/>
      <c r="N359" s="318"/>
      <c r="O359" s="318"/>
      <c r="P359" s="318"/>
      <c r="Q359" s="318"/>
      <c r="R359" s="318"/>
      <c r="S359" s="318"/>
      <c r="T359" s="318"/>
      <c r="U359" s="318"/>
      <c r="V359" s="318"/>
      <c r="W359" s="318"/>
      <c r="X359" s="318"/>
      <c r="Y359" s="318"/>
      <c r="Z359" s="318"/>
      <c r="AA359" s="318"/>
      <c r="AB359" s="318"/>
      <c r="AC359" s="318"/>
      <c r="AD359" s="318"/>
      <c r="AE359" s="318"/>
      <c r="AF359" s="318"/>
      <c r="AG359" s="318"/>
      <c r="AH359" s="318"/>
      <c r="AI359" s="318"/>
      <c r="AJ359" s="318"/>
      <c r="AK359" s="318"/>
      <c r="AL359" s="318"/>
      <c r="AM359" s="318"/>
      <c r="AN359" s="318"/>
      <c r="AO359" s="318"/>
      <c r="AP359" s="318"/>
    </row>
    <row r="360" spans="3:42" ht="15">
      <c r="C360" s="352"/>
      <c r="D360" s="318"/>
      <c r="E360" s="318"/>
      <c r="F360" s="318"/>
      <c r="G360" s="318"/>
      <c r="H360" s="318"/>
      <c r="I360" s="318"/>
      <c r="J360" s="318"/>
      <c r="K360" s="318"/>
      <c r="L360" s="318"/>
      <c r="M360" s="318"/>
      <c r="N360" s="318"/>
      <c r="O360" s="318"/>
      <c r="P360" s="318"/>
      <c r="Q360" s="318"/>
      <c r="R360" s="318"/>
      <c r="S360" s="318"/>
      <c r="T360" s="318"/>
      <c r="U360" s="318"/>
      <c r="V360" s="318"/>
      <c r="W360" s="318"/>
      <c r="X360" s="318"/>
      <c r="Y360" s="318"/>
      <c r="Z360" s="318"/>
      <c r="AA360" s="318"/>
      <c r="AB360" s="318"/>
      <c r="AC360" s="318"/>
      <c r="AD360" s="318"/>
      <c r="AE360" s="318"/>
      <c r="AF360" s="318"/>
      <c r="AG360" s="318"/>
      <c r="AH360" s="318"/>
      <c r="AI360" s="318"/>
      <c r="AJ360" s="318"/>
      <c r="AK360" s="318"/>
      <c r="AL360" s="318"/>
      <c r="AM360" s="318"/>
      <c r="AN360" s="318"/>
      <c r="AO360" s="318"/>
      <c r="AP360" s="318"/>
    </row>
    <row r="361" spans="3:42" ht="15">
      <c r="C361" s="352"/>
      <c r="D361" s="318"/>
      <c r="E361" s="318"/>
      <c r="F361" s="318"/>
      <c r="G361" s="318"/>
      <c r="H361" s="318"/>
      <c r="I361" s="318"/>
      <c r="J361" s="318"/>
      <c r="K361" s="318"/>
      <c r="L361" s="318"/>
      <c r="M361" s="318"/>
      <c r="N361" s="318"/>
      <c r="O361" s="318"/>
      <c r="P361" s="318"/>
      <c r="Q361" s="318"/>
      <c r="R361" s="318"/>
      <c r="S361" s="318"/>
      <c r="T361" s="318"/>
      <c r="U361" s="318"/>
      <c r="V361" s="318"/>
      <c r="W361" s="318"/>
      <c r="X361" s="318"/>
      <c r="Y361" s="318"/>
      <c r="Z361" s="318"/>
      <c r="AA361" s="318"/>
      <c r="AB361" s="318"/>
      <c r="AC361" s="318"/>
      <c r="AD361" s="318"/>
      <c r="AE361" s="318"/>
      <c r="AF361" s="318"/>
      <c r="AG361" s="318"/>
      <c r="AH361" s="318"/>
      <c r="AI361" s="318"/>
      <c r="AJ361" s="318"/>
      <c r="AK361" s="318"/>
      <c r="AL361" s="318"/>
      <c r="AM361" s="318"/>
      <c r="AN361" s="318"/>
      <c r="AO361" s="318"/>
      <c r="AP361" s="318"/>
    </row>
    <row r="362" spans="3:42" ht="15">
      <c r="C362" s="352"/>
      <c r="D362" s="318"/>
      <c r="E362" s="318"/>
      <c r="F362" s="318"/>
      <c r="G362" s="318"/>
      <c r="H362" s="318"/>
      <c r="I362" s="318"/>
      <c r="J362" s="318"/>
      <c r="K362" s="318"/>
      <c r="L362" s="318"/>
      <c r="M362" s="318"/>
      <c r="N362" s="318"/>
      <c r="O362" s="318"/>
      <c r="P362" s="318"/>
      <c r="Q362" s="318"/>
      <c r="R362" s="318"/>
      <c r="S362" s="318"/>
      <c r="T362" s="318"/>
      <c r="U362" s="318"/>
      <c r="V362" s="318"/>
      <c r="W362" s="318"/>
      <c r="X362" s="318"/>
      <c r="Y362" s="318"/>
      <c r="Z362" s="318"/>
      <c r="AA362" s="318"/>
      <c r="AB362" s="318"/>
      <c r="AC362" s="318"/>
      <c r="AD362" s="318"/>
      <c r="AE362" s="318"/>
      <c r="AF362" s="318"/>
      <c r="AG362" s="318"/>
      <c r="AH362" s="318"/>
      <c r="AI362" s="318"/>
      <c r="AJ362" s="318"/>
      <c r="AK362" s="318"/>
      <c r="AL362" s="318"/>
      <c r="AM362" s="318"/>
      <c r="AN362" s="318"/>
      <c r="AO362" s="318"/>
      <c r="AP362" s="318"/>
    </row>
    <row r="363" spans="3:42" ht="15">
      <c r="C363" s="352"/>
      <c r="D363" s="318"/>
      <c r="E363" s="318"/>
      <c r="F363" s="318"/>
      <c r="G363" s="318"/>
      <c r="H363" s="318"/>
      <c r="I363" s="318"/>
      <c r="J363" s="318"/>
      <c r="K363" s="318"/>
      <c r="L363" s="318"/>
      <c r="M363" s="318"/>
      <c r="N363" s="318"/>
      <c r="O363" s="318"/>
      <c r="P363" s="318"/>
      <c r="Q363" s="318"/>
      <c r="R363" s="318"/>
      <c r="S363" s="318"/>
      <c r="T363" s="318"/>
      <c r="U363" s="318"/>
      <c r="V363" s="318"/>
      <c r="W363" s="318"/>
      <c r="X363" s="318"/>
      <c r="Y363" s="318"/>
      <c r="Z363" s="318"/>
      <c r="AA363" s="318"/>
      <c r="AB363" s="318"/>
      <c r="AC363" s="318"/>
      <c r="AD363" s="318"/>
      <c r="AE363" s="318"/>
      <c r="AF363" s="318"/>
      <c r="AG363" s="318"/>
      <c r="AH363" s="318"/>
      <c r="AI363" s="318"/>
      <c r="AJ363" s="318"/>
      <c r="AK363" s="318"/>
      <c r="AL363" s="318"/>
      <c r="AM363" s="318"/>
      <c r="AN363" s="318"/>
      <c r="AO363" s="318"/>
      <c r="AP363" s="318"/>
    </row>
    <row r="364" spans="3:42" ht="15">
      <c r="C364" s="352"/>
      <c r="D364" s="318"/>
      <c r="E364" s="318"/>
      <c r="F364" s="318"/>
      <c r="G364" s="318"/>
      <c r="H364" s="318"/>
      <c r="I364" s="318"/>
      <c r="J364" s="318"/>
      <c r="K364" s="318"/>
      <c r="L364" s="318"/>
      <c r="M364" s="318"/>
      <c r="N364" s="318"/>
      <c r="O364" s="318"/>
      <c r="P364" s="318"/>
      <c r="Q364" s="318"/>
      <c r="R364" s="318"/>
      <c r="S364" s="318"/>
      <c r="T364" s="318"/>
      <c r="U364" s="318"/>
      <c r="V364" s="318"/>
      <c r="W364" s="318"/>
      <c r="X364" s="318"/>
      <c r="Y364" s="318"/>
      <c r="Z364" s="318"/>
      <c r="AA364" s="318"/>
      <c r="AB364" s="318"/>
      <c r="AC364" s="318"/>
      <c r="AD364" s="318"/>
      <c r="AE364" s="318"/>
      <c r="AF364" s="318"/>
      <c r="AG364" s="318"/>
      <c r="AH364" s="318"/>
      <c r="AI364" s="318"/>
      <c r="AJ364" s="318"/>
      <c r="AK364" s="318"/>
      <c r="AL364" s="318"/>
      <c r="AM364" s="318"/>
      <c r="AN364" s="318"/>
      <c r="AO364" s="318"/>
      <c r="AP364" s="318"/>
    </row>
    <row r="365" spans="3:42" ht="15">
      <c r="C365" s="352"/>
      <c r="D365" s="318"/>
      <c r="E365" s="318"/>
      <c r="F365" s="318"/>
      <c r="G365" s="318"/>
      <c r="H365" s="318"/>
      <c r="I365" s="318"/>
      <c r="J365" s="318"/>
      <c r="K365" s="318"/>
      <c r="L365" s="318"/>
      <c r="M365" s="318"/>
      <c r="N365" s="318"/>
      <c r="O365" s="318"/>
      <c r="P365" s="318"/>
      <c r="Q365" s="318"/>
      <c r="R365" s="318"/>
      <c r="S365" s="318"/>
      <c r="T365" s="318"/>
      <c r="U365" s="318"/>
      <c r="V365" s="318"/>
      <c r="W365" s="318"/>
      <c r="X365" s="318"/>
      <c r="Y365" s="318"/>
      <c r="Z365" s="318"/>
      <c r="AA365" s="318"/>
      <c r="AB365" s="318"/>
      <c r="AC365" s="318"/>
      <c r="AD365" s="318"/>
      <c r="AE365" s="318"/>
      <c r="AF365" s="318"/>
      <c r="AG365" s="318"/>
      <c r="AH365" s="318"/>
      <c r="AI365" s="318"/>
      <c r="AJ365" s="318"/>
      <c r="AK365" s="318"/>
      <c r="AL365" s="318"/>
      <c r="AM365" s="318"/>
      <c r="AN365" s="318"/>
      <c r="AO365" s="318"/>
      <c r="AP365" s="318"/>
    </row>
    <row r="366" spans="3:42" ht="15">
      <c r="C366" s="352"/>
      <c r="D366" s="318"/>
      <c r="E366" s="318"/>
      <c r="F366" s="318"/>
      <c r="G366" s="318"/>
      <c r="H366" s="318"/>
      <c r="I366" s="318"/>
      <c r="J366" s="318"/>
      <c r="K366" s="318"/>
      <c r="L366" s="318"/>
      <c r="M366" s="318"/>
      <c r="N366" s="318"/>
      <c r="O366" s="318"/>
      <c r="P366" s="318"/>
      <c r="Q366" s="318"/>
      <c r="R366" s="318"/>
      <c r="S366" s="318"/>
      <c r="T366" s="318"/>
      <c r="U366" s="318"/>
      <c r="V366" s="318"/>
      <c r="W366" s="318"/>
      <c r="X366" s="318"/>
      <c r="Y366" s="318"/>
      <c r="Z366" s="318"/>
      <c r="AA366" s="318"/>
      <c r="AB366" s="318"/>
      <c r="AC366" s="318"/>
      <c r="AD366" s="318"/>
      <c r="AE366" s="318"/>
      <c r="AF366" s="318"/>
      <c r="AG366" s="318"/>
      <c r="AH366" s="318"/>
      <c r="AI366" s="318"/>
      <c r="AJ366" s="318"/>
      <c r="AK366" s="318"/>
      <c r="AL366" s="318"/>
      <c r="AM366" s="318"/>
      <c r="AN366" s="318"/>
      <c r="AO366" s="318"/>
      <c r="AP366" s="318"/>
    </row>
    <row r="367" spans="3:42" ht="15">
      <c r="C367" s="352"/>
      <c r="D367" s="318"/>
      <c r="E367" s="318"/>
      <c r="F367" s="318"/>
      <c r="G367" s="318"/>
      <c r="H367" s="318"/>
      <c r="I367" s="318"/>
      <c r="J367" s="318"/>
      <c r="K367" s="318"/>
      <c r="L367" s="318"/>
      <c r="M367" s="318"/>
      <c r="N367" s="318"/>
      <c r="O367" s="318"/>
      <c r="P367" s="318"/>
      <c r="Q367" s="318"/>
      <c r="R367" s="318"/>
      <c r="S367" s="318"/>
      <c r="T367" s="318"/>
      <c r="U367" s="318"/>
      <c r="V367" s="318"/>
      <c r="W367" s="318"/>
      <c r="X367" s="318"/>
      <c r="Y367" s="318"/>
      <c r="Z367" s="318"/>
      <c r="AA367" s="318"/>
      <c r="AB367" s="318"/>
      <c r="AC367" s="318"/>
      <c r="AD367" s="318"/>
      <c r="AE367" s="318"/>
      <c r="AF367" s="318"/>
      <c r="AG367" s="318"/>
      <c r="AH367" s="318"/>
      <c r="AI367" s="318"/>
      <c r="AJ367" s="318"/>
      <c r="AK367" s="318"/>
      <c r="AL367" s="318"/>
      <c r="AM367" s="318"/>
      <c r="AN367" s="318"/>
      <c r="AO367" s="318"/>
      <c r="AP367" s="318"/>
    </row>
    <row r="368" spans="3:42" ht="15">
      <c r="C368" s="352"/>
      <c r="D368" s="318"/>
      <c r="E368" s="318"/>
      <c r="F368" s="318"/>
      <c r="G368" s="318"/>
      <c r="H368" s="318"/>
      <c r="I368" s="318"/>
      <c r="J368" s="318"/>
      <c r="K368" s="318"/>
      <c r="L368" s="318"/>
      <c r="M368" s="318"/>
      <c r="N368" s="318"/>
      <c r="O368" s="318"/>
      <c r="P368" s="318"/>
      <c r="Q368" s="318"/>
      <c r="R368" s="318"/>
      <c r="S368" s="318"/>
      <c r="T368" s="318"/>
      <c r="U368" s="318"/>
      <c r="V368" s="318"/>
      <c r="W368" s="318"/>
      <c r="X368" s="318"/>
      <c r="Y368" s="318"/>
      <c r="Z368" s="318"/>
      <c r="AA368" s="318"/>
      <c r="AB368" s="318"/>
      <c r="AC368" s="318"/>
      <c r="AD368" s="318"/>
      <c r="AE368" s="318"/>
      <c r="AF368" s="318"/>
      <c r="AG368" s="318"/>
      <c r="AH368" s="318"/>
      <c r="AI368" s="318"/>
      <c r="AJ368" s="318"/>
      <c r="AK368" s="318"/>
      <c r="AL368" s="318"/>
      <c r="AM368" s="318"/>
      <c r="AN368" s="318"/>
      <c r="AO368" s="318"/>
      <c r="AP368" s="318"/>
    </row>
    <row r="369" spans="3:42" ht="15">
      <c r="C369" s="352"/>
      <c r="D369" s="318"/>
      <c r="E369" s="318"/>
      <c r="F369" s="318"/>
      <c r="G369" s="318"/>
      <c r="H369" s="318"/>
      <c r="I369" s="318"/>
      <c r="J369" s="318"/>
      <c r="K369" s="318"/>
      <c r="L369" s="318"/>
      <c r="M369" s="318"/>
      <c r="N369" s="318"/>
      <c r="O369" s="318"/>
      <c r="P369" s="318"/>
      <c r="Q369" s="318"/>
      <c r="R369" s="318"/>
      <c r="S369" s="318"/>
      <c r="T369" s="318"/>
      <c r="U369" s="318"/>
      <c r="V369" s="318"/>
      <c r="W369" s="318"/>
      <c r="X369" s="318"/>
      <c r="Y369" s="318"/>
      <c r="Z369" s="318"/>
      <c r="AA369" s="318"/>
      <c r="AB369" s="318"/>
      <c r="AC369" s="318"/>
      <c r="AD369" s="318"/>
      <c r="AE369" s="318"/>
      <c r="AF369" s="318"/>
      <c r="AG369" s="318"/>
      <c r="AH369" s="318"/>
      <c r="AI369" s="318"/>
      <c r="AJ369" s="318"/>
      <c r="AK369" s="318"/>
      <c r="AL369" s="318"/>
      <c r="AM369" s="318"/>
      <c r="AN369" s="318"/>
      <c r="AO369" s="318"/>
      <c r="AP369" s="318"/>
    </row>
    <row r="370" spans="3:42" ht="15">
      <c r="C370" s="352"/>
      <c r="D370" s="318"/>
      <c r="E370" s="318"/>
      <c r="F370" s="318"/>
      <c r="G370" s="318"/>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row>
    <row r="371" spans="3:42" ht="15">
      <c r="C371" s="352"/>
      <c r="D371" s="318"/>
      <c r="E371" s="318"/>
      <c r="F371" s="318"/>
      <c r="G371" s="318"/>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row>
    <row r="372" spans="3:42" ht="15">
      <c r="C372" s="352"/>
      <c r="D372" s="318"/>
      <c r="E372" s="318"/>
      <c r="F372" s="318"/>
      <c r="G372" s="318"/>
      <c r="H372" s="318"/>
      <c r="I372" s="318"/>
      <c r="J372" s="318"/>
      <c r="K372" s="318"/>
      <c r="L372" s="318"/>
      <c r="M372" s="318"/>
      <c r="N372" s="318"/>
      <c r="O372" s="318"/>
      <c r="P372" s="318"/>
      <c r="Q372" s="318"/>
      <c r="R372" s="318"/>
      <c r="S372" s="318"/>
      <c r="T372" s="318"/>
      <c r="U372" s="318"/>
      <c r="V372" s="318"/>
      <c r="W372" s="318"/>
      <c r="X372" s="318"/>
      <c r="Y372" s="318"/>
      <c r="Z372" s="318"/>
      <c r="AA372" s="318"/>
      <c r="AB372" s="318"/>
      <c r="AC372" s="318"/>
      <c r="AD372" s="318"/>
      <c r="AE372" s="318"/>
      <c r="AF372" s="318"/>
      <c r="AG372" s="318"/>
      <c r="AH372" s="318"/>
      <c r="AI372" s="318"/>
      <c r="AJ372" s="318"/>
      <c r="AK372" s="318"/>
      <c r="AL372" s="318"/>
      <c r="AM372" s="318"/>
      <c r="AN372" s="318"/>
      <c r="AO372" s="318"/>
      <c r="AP372" s="318"/>
    </row>
    <row r="373" spans="3:42" ht="15">
      <c r="C373" s="352"/>
      <c r="D373" s="318"/>
      <c r="E373" s="318"/>
      <c r="F373" s="318"/>
      <c r="G373" s="318"/>
      <c r="H373" s="318"/>
      <c r="I373" s="318"/>
      <c r="J373" s="318"/>
      <c r="K373" s="318"/>
      <c r="L373" s="318"/>
      <c r="M373" s="318"/>
      <c r="N373" s="318"/>
      <c r="O373" s="318"/>
      <c r="P373" s="318"/>
      <c r="Q373" s="318"/>
      <c r="R373" s="318"/>
      <c r="S373" s="318"/>
      <c r="T373" s="318"/>
      <c r="U373" s="318"/>
      <c r="V373" s="318"/>
      <c r="W373" s="318"/>
      <c r="X373" s="318"/>
      <c r="Y373" s="318"/>
      <c r="Z373" s="318"/>
      <c r="AA373" s="318"/>
      <c r="AB373" s="318"/>
      <c r="AC373" s="318"/>
      <c r="AD373" s="318"/>
      <c r="AE373" s="318"/>
      <c r="AF373" s="318"/>
      <c r="AG373" s="318"/>
      <c r="AH373" s="318"/>
      <c r="AI373" s="318"/>
      <c r="AJ373" s="318"/>
      <c r="AK373" s="318"/>
      <c r="AL373" s="318"/>
      <c r="AM373" s="318"/>
      <c r="AN373" s="318"/>
      <c r="AO373" s="318"/>
      <c r="AP373" s="318"/>
    </row>
    <row r="374" spans="3:42" ht="15">
      <c r="C374" s="352"/>
      <c r="D374" s="318"/>
      <c r="E374" s="318"/>
      <c r="F374" s="318"/>
      <c r="G374" s="318"/>
      <c r="H374" s="318"/>
      <c r="I374" s="318"/>
      <c r="J374" s="318"/>
      <c r="K374" s="318"/>
      <c r="L374" s="318"/>
      <c r="M374" s="318"/>
      <c r="N374" s="318"/>
      <c r="O374" s="318"/>
      <c r="P374" s="318"/>
      <c r="Q374" s="318"/>
      <c r="R374" s="318"/>
      <c r="S374" s="318"/>
      <c r="T374" s="318"/>
      <c r="U374" s="318"/>
      <c r="V374" s="318"/>
      <c r="W374" s="318"/>
      <c r="X374" s="318"/>
      <c r="Y374" s="318"/>
      <c r="Z374" s="318"/>
      <c r="AA374" s="318"/>
      <c r="AB374" s="318"/>
      <c r="AC374" s="318"/>
      <c r="AD374" s="318"/>
      <c r="AE374" s="318"/>
      <c r="AF374" s="318"/>
      <c r="AG374" s="318"/>
      <c r="AH374" s="318"/>
      <c r="AI374" s="318"/>
      <c r="AJ374" s="318"/>
      <c r="AK374" s="318"/>
      <c r="AL374" s="318"/>
      <c r="AM374" s="318"/>
      <c r="AN374" s="318"/>
      <c r="AO374" s="318"/>
      <c r="AP374" s="318"/>
    </row>
    <row r="375" spans="3:42" ht="15">
      <c r="C375" s="352"/>
      <c r="D375" s="318"/>
      <c r="E375" s="318"/>
      <c r="F375" s="318"/>
      <c r="G375" s="318"/>
      <c r="H375" s="318"/>
      <c r="I375" s="318"/>
      <c r="J375" s="318"/>
      <c r="K375" s="318"/>
      <c r="L375" s="318"/>
      <c r="M375" s="318"/>
      <c r="N375" s="318"/>
      <c r="O375" s="318"/>
      <c r="P375" s="318"/>
      <c r="Q375" s="318"/>
      <c r="R375" s="318"/>
      <c r="S375" s="318"/>
      <c r="T375" s="318"/>
      <c r="U375" s="318"/>
      <c r="V375" s="318"/>
      <c r="W375" s="318"/>
      <c r="X375" s="318"/>
      <c r="Y375" s="318"/>
      <c r="Z375" s="318"/>
      <c r="AA375" s="318"/>
      <c r="AB375" s="318"/>
      <c r="AC375" s="318"/>
      <c r="AD375" s="318"/>
      <c r="AE375" s="318"/>
      <c r="AF375" s="318"/>
      <c r="AG375" s="318"/>
      <c r="AH375" s="318"/>
      <c r="AI375" s="318"/>
      <c r="AJ375" s="318"/>
      <c r="AK375" s="318"/>
      <c r="AL375" s="318"/>
      <c r="AM375" s="318"/>
      <c r="AN375" s="318"/>
      <c r="AO375" s="318"/>
      <c r="AP375" s="318"/>
    </row>
    <row r="376" spans="3:42" ht="15">
      <c r="C376" s="352"/>
      <c r="D376" s="318"/>
      <c r="E376" s="318"/>
      <c r="F376" s="318"/>
      <c r="G376" s="318"/>
      <c r="H376" s="318"/>
      <c r="I376" s="318"/>
      <c r="J376" s="318"/>
      <c r="K376" s="318"/>
      <c r="L376" s="318"/>
      <c r="M376" s="318"/>
      <c r="N376" s="318"/>
      <c r="O376" s="318"/>
      <c r="P376" s="318"/>
      <c r="Q376" s="318"/>
      <c r="R376" s="318"/>
      <c r="S376" s="318"/>
      <c r="T376" s="318"/>
      <c r="U376" s="318"/>
      <c r="V376" s="318"/>
      <c r="W376" s="318"/>
      <c r="X376" s="318"/>
      <c r="Y376" s="318"/>
      <c r="Z376" s="318"/>
      <c r="AA376" s="318"/>
      <c r="AB376" s="318"/>
      <c r="AC376" s="318"/>
      <c r="AD376" s="318"/>
      <c r="AE376" s="318"/>
      <c r="AF376" s="318"/>
      <c r="AG376" s="318"/>
      <c r="AH376" s="318"/>
      <c r="AI376" s="318"/>
      <c r="AJ376" s="318"/>
      <c r="AK376" s="318"/>
      <c r="AL376" s="318"/>
      <c r="AM376" s="318"/>
      <c r="AN376" s="318"/>
      <c r="AO376" s="318"/>
      <c r="AP376" s="318"/>
    </row>
    <row r="377" spans="3:42" ht="15">
      <c r="C377" s="352"/>
      <c r="D377" s="318"/>
      <c r="E377" s="318"/>
      <c r="F377" s="318"/>
      <c r="G377" s="318"/>
      <c r="H377" s="318"/>
      <c r="I377" s="318"/>
      <c r="J377" s="318"/>
      <c r="K377" s="318"/>
      <c r="L377" s="318"/>
      <c r="M377" s="318"/>
      <c r="N377" s="318"/>
      <c r="O377" s="318"/>
      <c r="P377" s="318"/>
      <c r="Q377" s="318"/>
      <c r="R377" s="318"/>
      <c r="S377" s="318"/>
      <c r="T377" s="318"/>
      <c r="U377" s="318"/>
      <c r="V377" s="318"/>
      <c r="W377" s="318"/>
      <c r="X377" s="318"/>
      <c r="Y377" s="318"/>
      <c r="Z377" s="318"/>
      <c r="AA377" s="318"/>
      <c r="AB377" s="318"/>
      <c r="AC377" s="318"/>
      <c r="AD377" s="318"/>
      <c r="AE377" s="318"/>
      <c r="AF377" s="318"/>
      <c r="AG377" s="318"/>
      <c r="AH377" s="318"/>
      <c r="AI377" s="318"/>
      <c r="AJ377" s="318"/>
      <c r="AK377" s="318"/>
      <c r="AL377" s="318"/>
      <c r="AM377" s="318"/>
      <c r="AN377" s="318"/>
      <c r="AO377" s="318"/>
      <c r="AP377" s="318"/>
    </row>
    <row r="378" spans="3:42" ht="15">
      <c r="C378" s="352"/>
      <c r="D378" s="318"/>
      <c r="E378" s="318"/>
      <c r="F378" s="318"/>
      <c r="G378" s="318"/>
      <c r="H378" s="318"/>
      <c r="I378" s="318"/>
      <c r="J378" s="318"/>
      <c r="K378" s="318"/>
      <c r="L378" s="318"/>
      <c r="M378" s="318"/>
      <c r="N378" s="318"/>
      <c r="O378" s="318"/>
      <c r="P378" s="318"/>
      <c r="Q378" s="318"/>
      <c r="R378" s="318"/>
      <c r="S378" s="318"/>
      <c r="T378" s="318"/>
      <c r="U378" s="318"/>
      <c r="V378" s="318"/>
      <c r="W378" s="318"/>
      <c r="X378" s="318"/>
      <c r="Y378" s="318"/>
      <c r="Z378" s="318"/>
      <c r="AA378" s="318"/>
      <c r="AB378" s="318"/>
      <c r="AC378" s="318"/>
      <c r="AD378" s="318"/>
      <c r="AE378" s="318"/>
      <c r="AF378" s="318"/>
      <c r="AG378" s="318"/>
      <c r="AH378" s="318"/>
      <c r="AI378" s="318"/>
      <c r="AJ378" s="318"/>
      <c r="AK378" s="318"/>
      <c r="AL378" s="318"/>
      <c r="AM378" s="318"/>
      <c r="AN378" s="318"/>
      <c r="AO378" s="318"/>
      <c r="AP378" s="318"/>
    </row>
    <row r="379" spans="3:42" ht="15">
      <c r="C379" s="352"/>
      <c r="D379" s="318"/>
      <c r="E379" s="318"/>
      <c r="F379" s="318"/>
      <c r="G379" s="318"/>
      <c r="H379" s="318"/>
      <c r="I379" s="318"/>
      <c r="J379" s="318"/>
      <c r="K379" s="318"/>
      <c r="L379" s="318"/>
      <c r="M379" s="318"/>
      <c r="N379" s="318"/>
      <c r="O379" s="318"/>
      <c r="P379" s="318"/>
      <c r="Q379" s="318"/>
      <c r="R379" s="318"/>
      <c r="S379" s="318"/>
      <c r="T379" s="318"/>
      <c r="U379" s="318"/>
      <c r="V379" s="318"/>
      <c r="W379" s="318"/>
      <c r="X379" s="318"/>
      <c r="Y379" s="318"/>
      <c r="Z379" s="318"/>
      <c r="AA379" s="318"/>
      <c r="AB379" s="318"/>
      <c r="AC379" s="318"/>
      <c r="AD379" s="318"/>
      <c r="AE379" s="318"/>
      <c r="AF379" s="318"/>
      <c r="AG379" s="318"/>
      <c r="AH379" s="318"/>
      <c r="AI379" s="318"/>
      <c r="AJ379" s="318"/>
      <c r="AK379" s="318"/>
      <c r="AL379" s="318"/>
      <c r="AM379" s="318"/>
      <c r="AN379" s="318"/>
      <c r="AO379" s="318"/>
      <c r="AP379" s="318"/>
    </row>
    <row r="380" spans="3:42" ht="15">
      <c r="C380" s="352"/>
      <c r="D380" s="318"/>
      <c r="E380" s="318"/>
      <c r="F380" s="318"/>
      <c r="G380" s="318"/>
      <c r="H380" s="318"/>
      <c r="I380" s="318"/>
      <c r="J380" s="318"/>
      <c r="K380" s="318"/>
      <c r="L380" s="318"/>
      <c r="M380" s="318"/>
      <c r="N380" s="318"/>
      <c r="O380" s="318"/>
      <c r="P380" s="318"/>
      <c r="Q380" s="318"/>
      <c r="R380" s="318"/>
      <c r="S380" s="318"/>
      <c r="T380" s="318"/>
      <c r="U380" s="318"/>
      <c r="V380" s="318"/>
      <c r="W380" s="318"/>
      <c r="X380" s="318"/>
      <c r="Y380" s="318"/>
      <c r="Z380" s="318"/>
      <c r="AA380" s="318"/>
      <c r="AB380" s="318"/>
      <c r="AC380" s="318"/>
      <c r="AD380" s="318"/>
      <c r="AE380" s="318"/>
      <c r="AF380" s="318"/>
      <c r="AG380" s="318"/>
      <c r="AH380" s="318"/>
      <c r="AI380" s="318"/>
      <c r="AJ380" s="318"/>
      <c r="AK380" s="318"/>
      <c r="AL380" s="318"/>
      <c r="AM380" s="318"/>
      <c r="AN380" s="318"/>
      <c r="AO380" s="318"/>
      <c r="AP380" s="318"/>
    </row>
    <row r="381" spans="3:42" ht="15">
      <c r="C381" s="352"/>
      <c r="D381" s="318"/>
      <c r="E381" s="318"/>
      <c r="F381" s="318"/>
      <c r="G381" s="318"/>
      <c r="H381" s="318"/>
      <c r="I381" s="318"/>
      <c r="J381" s="318"/>
      <c r="K381" s="318"/>
      <c r="L381" s="318"/>
      <c r="M381" s="318"/>
      <c r="N381" s="318"/>
      <c r="O381" s="318"/>
      <c r="P381" s="318"/>
      <c r="Q381" s="318"/>
      <c r="R381" s="318"/>
      <c r="S381" s="318"/>
      <c r="T381" s="318"/>
      <c r="U381" s="318"/>
      <c r="V381" s="318"/>
      <c r="W381" s="318"/>
      <c r="X381" s="318"/>
      <c r="Y381" s="318"/>
      <c r="Z381" s="318"/>
      <c r="AA381" s="318"/>
      <c r="AB381" s="318"/>
      <c r="AC381" s="318"/>
      <c r="AD381" s="318"/>
      <c r="AE381" s="318"/>
      <c r="AF381" s="318"/>
      <c r="AG381" s="318"/>
      <c r="AH381" s="318"/>
      <c r="AI381" s="318"/>
      <c r="AJ381" s="318"/>
      <c r="AK381" s="318"/>
      <c r="AL381" s="318"/>
      <c r="AM381" s="318"/>
      <c r="AN381" s="318"/>
      <c r="AO381" s="318"/>
      <c r="AP381" s="318"/>
    </row>
    <row r="382" spans="3:42" ht="15">
      <c r="C382" s="352"/>
      <c r="D382" s="318"/>
      <c r="E382" s="318"/>
      <c r="F382" s="318"/>
      <c r="G382" s="318"/>
      <c r="H382" s="318"/>
      <c r="I382" s="318"/>
      <c r="J382" s="318"/>
      <c r="K382" s="318"/>
      <c r="L382" s="318"/>
      <c r="M382" s="318"/>
      <c r="N382" s="318"/>
      <c r="O382" s="318"/>
      <c r="P382" s="318"/>
      <c r="Q382" s="318"/>
      <c r="R382" s="318"/>
      <c r="S382" s="318"/>
      <c r="T382" s="318"/>
      <c r="U382" s="318"/>
      <c r="V382" s="318"/>
      <c r="W382" s="318"/>
      <c r="X382" s="318"/>
      <c r="Y382" s="318"/>
      <c r="Z382" s="318"/>
      <c r="AA382" s="318"/>
      <c r="AB382" s="318"/>
      <c r="AC382" s="318"/>
      <c r="AD382" s="318"/>
      <c r="AE382" s="318"/>
      <c r="AF382" s="318"/>
      <c r="AG382" s="318"/>
      <c r="AH382" s="318"/>
      <c r="AI382" s="318"/>
      <c r="AJ382" s="318"/>
      <c r="AK382" s="318"/>
      <c r="AL382" s="318"/>
      <c r="AM382" s="318"/>
      <c r="AN382" s="318"/>
      <c r="AO382" s="318"/>
      <c r="AP382" s="318"/>
    </row>
    <row r="383" spans="3:42" ht="15">
      <c r="C383" s="352"/>
      <c r="D383" s="318"/>
      <c r="E383" s="318"/>
      <c r="F383" s="318"/>
      <c r="G383" s="318"/>
      <c r="H383" s="318"/>
      <c r="I383" s="318"/>
      <c r="J383" s="318"/>
      <c r="K383" s="318"/>
      <c r="L383" s="318"/>
      <c r="M383" s="318"/>
      <c r="N383" s="318"/>
      <c r="O383" s="318"/>
      <c r="P383" s="318"/>
      <c r="Q383" s="318"/>
      <c r="R383" s="318"/>
      <c r="S383" s="318"/>
      <c r="T383" s="318"/>
      <c r="U383" s="318"/>
      <c r="V383" s="318"/>
      <c r="W383" s="318"/>
      <c r="X383" s="318"/>
      <c r="Y383" s="318"/>
      <c r="Z383" s="318"/>
      <c r="AA383" s="318"/>
      <c r="AB383" s="318"/>
      <c r="AC383" s="318"/>
      <c r="AD383" s="318"/>
      <c r="AE383" s="318"/>
      <c r="AF383" s="318"/>
      <c r="AG383" s="318"/>
      <c r="AH383" s="318"/>
      <c r="AI383" s="318"/>
      <c r="AJ383" s="318"/>
      <c r="AK383" s="318"/>
      <c r="AL383" s="318"/>
      <c r="AM383" s="318"/>
      <c r="AN383" s="318"/>
      <c r="AO383" s="318"/>
      <c r="AP383" s="318"/>
    </row>
    <row r="384" spans="3:42" ht="15">
      <c r="C384" s="352"/>
      <c r="D384" s="318"/>
      <c r="E384" s="318"/>
      <c r="F384" s="318"/>
      <c r="G384" s="318"/>
      <c r="H384" s="318"/>
      <c r="I384" s="318"/>
      <c r="J384" s="318"/>
      <c r="K384" s="318"/>
      <c r="L384" s="318"/>
      <c r="M384" s="318"/>
      <c r="N384" s="318"/>
      <c r="O384" s="318"/>
      <c r="P384" s="318"/>
      <c r="Q384" s="318"/>
      <c r="R384" s="318"/>
      <c r="S384" s="318"/>
      <c r="T384" s="318"/>
      <c r="U384" s="318"/>
      <c r="V384" s="318"/>
      <c r="W384" s="318"/>
      <c r="X384" s="318"/>
      <c r="Y384" s="318"/>
      <c r="Z384" s="318"/>
      <c r="AA384" s="318"/>
      <c r="AB384" s="318"/>
      <c r="AC384" s="318"/>
      <c r="AD384" s="318"/>
      <c r="AE384" s="318"/>
      <c r="AF384" s="318"/>
      <c r="AG384" s="318"/>
      <c r="AH384" s="318"/>
      <c r="AI384" s="318"/>
      <c r="AJ384" s="318"/>
      <c r="AK384" s="318"/>
      <c r="AL384" s="318"/>
      <c r="AM384" s="318"/>
      <c r="AN384" s="318"/>
      <c r="AO384" s="318"/>
      <c r="AP384" s="318"/>
    </row>
    <row r="385" spans="3:42" ht="15">
      <c r="C385" s="352"/>
      <c r="D385" s="318"/>
      <c r="E385" s="318"/>
      <c r="F385" s="318"/>
      <c r="G385" s="318"/>
      <c r="H385" s="318"/>
      <c r="I385" s="318"/>
      <c r="J385" s="318"/>
      <c r="K385" s="318"/>
      <c r="L385" s="318"/>
      <c r="M385" s="318"/>
      <c r="N385" s="318"/>
      <c r="O385" s="318"/>
      <c r="P385" s="318"/>
      <c r="Q385" s="318"/>
      <c r="R385" s="318"/>
      <c r="S385" s="318"/>
      <c r="T385" s="318"/>
      <c r="U385" s="318"/>
      <c r="V385" s="318"/>
      <c r="W385" s="318"/>
      <c r="X385" s="318"/>
      <c r="Y385" s="318"/>
      <c r="Z385" s="318"/>
      <c r="AA385" s="318"/>
      <c r="AB385" s="318"/>
      <c r="AC385" s="318"/>
      <c r="AD385" s="318"/>
      <c r="AE385" s="318"/>
      <c r="AF385" s="318"/>
      <c r="AG385" s="318"/>
      <c r="AH385" s="318"/>
      <c r="AI385" s="318"/>
      <c r="AJ385" s="318"/>
      <c r="AK385" s="318"/>
      <c r="AL385" s="318"/>
      <c r="AM385" s="318"/>
      <c r="AN385" s="318"/>
      <c r="AO385" s="318"/>
      <c r="AP385" s="318"/>
    </row>
    <row r="386" spans="3:42" ht="15">
      <c r="C386" s="352"/>
      <c r="D386" s="318"/>
      <c r="E386" s="318"/>
      <c r="F386" s="318"/>
      <c r="G386" s="318"/>
      <c r="H386" s="318"/>
      <c r="I386" s="318"/>
      <c r="J386" s="318"/>
      <c r="K386" s="318"/>
      <c r="L386" s="318"/>
      <c r="M386" s="318"/>
      <c r="N386" s="318"/>
      <c r="O386" s="318"/>
      <c r="P386" s="318"/>
      <c r="Q386" s="318"/>
      <c r="R386" s="318"/>
      <c r="S386" s="318"/>
      <c r="T386" s="318"/>
      <c r="U386" s="318"/>
      <c r="V386" s="318"/>
      <c r="W386" s="318"/>
      <c r="X386" s="318"/>
      <c r="Y386" s="318"/>
      <c r="Z386" s="318"/>
      <c r="AA386" s="318"/>
      <c r="AB386" s="318"/>
      <c r="AC386" s="318"/>
      <c r="AD386" s="318"/>
      <c r="AE386" s="318"/>
      <c r="AF386" s="318"/>
      <c r="AG386" s="318"/>
      <c r="AH386" s="318"/>
      <c r="AI386" s="318"/>
      <c r="AJ386" s="318"/>
      <c r="AK386" s="318"/>
      <c r="AL386" s="318"/>
      <c r="AM386" s="318"/>
      <c r="AN386" s="318"/>
      <c r="AO386" s="318"/>
      <c r="AP386" s="318"/>
    </row>
    <row r="387" spans="3:42" ht="15">
      <c r="C387" s="352"/>
      <c r="D387" s="318"/>
      <c r="E387" s="318"/>
      <c r="F387" s="318"/>
      <c r="G387" s="318"/>
      <c r="H387" s="318"/>
      <c r="I387" s="318"/>
      <c r="J387" s="318"/>
      <c r="K387" s="318"/>
      <c r="L387" s="318"/>
      <c r="M387" s="318"/>
      <c r="N387" s="318"/>
      <c r="O387" s="318"/>
      <c r="P387" s="318"/>
      <c r="Q387" s="318"/>
      <c r="R387" s="318"/>
      <c r="S387" s="318"/>
      <c r="T387" s="318"/>
      <c r="U387" s="318"/>
      <c r="V387" s="318"/>
      <c r="W387" s="318"/>
      <c r="X387" s="318"/>
      <c r="Y387" s="318"/>
      <c r="Z387" s="318"/>
      <c r="AA387" s="318"/>
      <c r="AB387" s="318"/>
      <c r="AC387" s="318"/>
      <c r="AD387" s="318"/>
      <c r="AE387" s="318"/>
      <c r="AF387" s="318"/>
      <c r="AG387" s="318"/>
      <c r="AH387" s="318"/>
      <c r="AI387" s="318"/>
      <c r="AJ387" s="318"/>
      <c r="AK387" s="318"/>
      <c r="AL387" s="318"/>
      <c r="AM387" s="318"/>
      <c r="AN387" s="318"/>
      <c r="AO387" s="318"/>
      <c r="AP387" s="318"/>
    </row>
    <row r="388" spans="3:42" ht="15">
      <c r="C388" s="352"/>
      <c r="D388" s="318"/>
      <c r="E388" s="318"/>
      <c r="F388" s="318"/>
      <c r="G388" s="318"/>
      <c r="H388" s="318"/>
      <c r="I388" s="318"/>
      <c r="J388" s="318"/>
      <c r="K388" s="318"/>
      <c r="L388" s="318"/>
      <c r="M388" s="318"/>
      <c r="N388" s="318"/>
      <c r="O388" s="318"/>
      <c r="P388" s="318"/>
      <c r="Q388" s="318"/>
      <c r="R388" s="318"/>
      <c r="S388" s="318"/>
      <c r="T388" s="318"/>
      <c r="U388" s="318"/>
      <c r="V388" s="318"/>
      <c r="W388" s="318"/>
      <c r="X388" s="318"/>
      <c r="Y388" s="318"/>
      <c r="Z388" s="318"/>
      <c r="AA388" s="318"/>
      <c r="AB388" s="318"/>
      <c r="AC388" s="318"/>
      <c r="AD388" s="318"/>
      <c r="AE388" s="318"/>
      <c r="AF388" s="318"/>
      <c r="AG388" s="318"/>
      <c r="AH388" s="318"/>
      <c r="AI388" s="318"/>
      <c r="AJ388" s="318"/>
      <c r="AK388" s="318"/>
      <c r="AL388" s="318"/>
      <c r="AM388" s="318"/>
      <c r="AN388" s="318"/>
      <c r="AO388" s="318"/>
      <c r="AP388" s="318"/>
    </row>
    <row r="389" spans="3:42" ht="15">
      <c r="C389" s="352"/>
      <c r="D389" s="318"/>
      <c r="E389" s="318"/>
      <c r="F389" s="318"/>
      <c r="G389" s="318"/>
      <c r="H389" s="318"/>
      <c r="I389" s="318"/>
      <c r="J389" s="318"/>
      <c r="K389" s="318"/>
      <c r="L389" s="318"/>
      <c r="M389" s="318"/>
      <c r="N389" s="318"/>
      <c r="O389" s="318"/>
      <c r="P389" s="318"/>
      <c r="Q389" s="318"/>
      <c r="R389" s="318"/>
      <c r="S389" s="318"/>
      <c r="T389" s="318"/>
      <c r="U389" s="318"/>
      <c r="V389" s="318"/>
      <c r="W389" s="318"/>
      <c r="X389" s="318"/>
      <c r="Y389" s="318"/>
      <c r="Z389" s="318"/>
      <c r="AA389" s="318"/>
      <c r="AB389" s="318"/>
      <c r="AC389" s="318"/>
      <c r="AD389" s="318"/>
      <c r="AE389" s="318"/>
      <c r="AF389" s="318"/>
      <c r="AG389" s="318"/>
      <c r="AH389" s="318"/>
      <c r="AI389" s="318"/>
      <c r="AJ389" s="318"/>
      <c r="AK389" s="318"/>
      <c r="AL389" s="318"/>
      <c r="AM389" s="318"/>
      <c r="AN389" s="318"/>
      <c r="AO389" s="318"/>
      <c r="AP389" s="318"/>
    </row>
    <row r="390" spans="3:42" ht="15">
      <c r="C390" s="352"/>
      <c r="D390" s="318"/>
      <c r="E390" s="318"/>
      <c r="F390" s="318"/>
      <c r="G390" s="318"/>
      <c r="H390" s="318"/>
      <c r="I390" s="318"/>
      <c r="J390" s="318"/>
      <c r="K390" s="318"/>
      <c r="L390" s="318"/>
      <c r="M390" s="318"/>
      <c r="N390" s="318"/>
      <c r="O390" s="318"/>
      <c r="P390" s="318"/>
      <c r="Q390" s="318"/>
      <c r="R390" s="318"/>
      <c r="S390" s="318"/>
      <c r="T390" s="318"/>
      <c r="U390" s="318"/>
      <c r="V390" s="318"/>
      <c r="W390" s="318"/>
      <c r="X390" s="318"/>
      <c r="Y390" s="318"/>
      <c r="Z390" s="318"/>
      <c r="AA390" s="318"/>
      <c r="AB390" s="318"/>
      <c r="AC390" s="318"/>
      <c r="AD390" s="318"/>
      <c r="AE390" s="318"/>
      <c r="AF390" s="318"/>
      <c r="AG390" s="318"/>
      <c r="AH390" s="318"/>
      <c r="AI390" s="318"/>
      <c r="AJ390" s="318"/>
      <c r="AK390" s="318"/>
      <c r="AL390" s="318"/>
      <c r="AM390" s="318"/>
      <c r="AN390" s="318"/>
      <c r="AO390" s="318"/>
      <c r="AP390" s="318"/>
    </row>
    <row r="391" spans="3:42" ht="15">
      <c r="C391" s="352"/>
      <c r="D391" s="318"/>
      <c r="E391" s="318"/>
      <c r="F391" s="318"/>
      <c r="G391" s="318"/>
      <c r="H391" s="318"/>
      <c r="I391" s="318"/>
      <c r="J391" s="318"/>
      <c r="K391" s="318"/>
      <c r="L391" s="318"/>
      <c r="M391" s="318"/>
      <c r="N391" s="318"/>
      <c r="O391" s="318"/>
      <c r="P391" s="318"/>
      <c r="Q391" s="318"/>
      <c r="R391" s="318"/>
      <c r="S391" s="318"/>
      <c r="T391" s="318"/>
      <c r="U391" s="318"/>
      <c r="V391" s="318"/>
      <c r="W391" s="318"/>
      <c r="X391" s="318"/>
      <c r="Y391" s="318"/>
      <c r="Z391" s="318"/>
      <c r="AA391" s="318"/>
      <c r="AB391" s="318"/>
      <c r="AC391" s="318"/>
      <c r="AD391" s="318"/>
      <c r="AE391" s="318"/>
      <c r="AF391" s="318"/>
      <c r="AG391" s="318"/>
      <c r="AH391" s="318"/>
      <c r="AI391" s="318"/>
      <c r="AJ391" s="318"/>
      <c r="AK391" s="318"/>
      <c r="AL391" s="318"/>
      <c r="AM391" s="318"/>
      <c r="AN391" s="318"/>
      <c r="AO391" s="318"/>
      <c r="AP391" s="318"/>
    </row>
    <row r="392" spans="3:42" ht="15">
      <c r="C392" s="352"/>
      <c r="D392" s="318"/>
      <c r="E392" s="318"/>
      <c r="F392" s="318"/>
      <c r="G392" s="318"/>
      <c r="H392" s="318"/>
      <c r="I392" s="318"/>
      <c r="J392" s="318"/>
      <c r="K392" s="318"/>
      <c r="L392" s="318"/>
      <c r="M392" s="318"/>
      <c r="N392" s="318"/>
      <c r="O392" s="318"/>
      <c r="P392" s="318"/>
      <c r="Q392" s="318"/>
      <c r="R392" s="318"/>
      <c r="S392" s="318"/>
      <c r="T392" s="318"/>
      <c r="U392" s="318"/>
      <c r="V392" s="318"/>
      <c r="W392" s="318"/>
      <c r="X392" s="318"/>
      <c r="Y392" s="318"/>
      <c r="Z392" s="318"/>
      <c r="AA392" s="318"/>
      <c r="AB392" s="318"/>
      <c r="AC392" s="318"/>
      <c r="AD392" s="318"/>
      <c r="AE392" s="318"/>
      <c r="AF392" s="318"/>
      <c r="AG392" s="318"/>
      <c r="AH392" s="318"/>
      <c r="AI392" s="318"/>
      <c r="AJ392" s="318"/>
      <c r="AK392" s="318"/>
      <c r="AL392" s="318"/>
      <c r="AM392" s="318"/>
      <c r="AN392" s="318"/>
      <c r="AO392" s="318"/>
      <c r="AP392" s="318"/>
    </row>
    <row r="393" spans="3:42" ht="15">
      <c r="C393" s="352"/>
      <c r="D393" s="318"/>
      <c r="E393" s="318"/>
      <c r="F393" s="318"/>
      <c r="G393" s="318"/>
      <c r="H393" s="318"/>
      <c r="I393" s="318"/>
      <c r="J393" s="318"/>
      <c r="K393" s="318"/>
      <c r="L393" s="318"/>
      <c r="M393" s="318"/>
      <c r="N393" s="318"/>
      <c r="O393" s="318"/>
      <c r="P393" s="318"/>
      <c r="Q393" s="318"/>
      <c r="R393" s="318"/>
      <c r="S393" s="318"/>
      <c r="T393" s="318"/>
      <c r="U393" s="318"/>
      <c r="V393" s="318"/>
      <c r="W393" s="318"/>
      <c r="X393" s="318"/>
      <c r="Y393" s="318"/>
      <c r="Z393" s="318"/>
      <c r="AA393" s="318"/>
      <c r="AB393" s="318"/>
      <c r="AC393" s="318"/>
      <c r="AD393" s="318"/>
      <c r="AE393" s="318"/>
      <c r="AF393" s="318"/>
      <c r="AG393" s="318"/>
      <c r="AH393" s="318"/>
      <c r="AI393" s="318"/>
      <c r="AJ393" s="318"/>
      <c r="AK393" s="318"/>
      <c r="AL393" s="318"/>
      <c r="AM393" s="318"/>
      <c r="AN393" s="318"/>
      <c r="AO393" s="318"/>
      <c r="AP393" s="318"/>
    </row>
    <row r="394" spans="3:42" ht="15">
      <c r="C394" s="352"/>
      <c r="D394" s="318"/>
      <c r="E394" s="318"/>
      <c r="F394" s="318"/>
      <c r="G394" s="318"/>
      <c r="H394" s="318"/>
      <c r="I394" s="318"/>
      <c r="J394" s="318"/>
      <c r="K394" s="318"/>
      <c r="L394" s="318"/>
      <c r="M394" s="318"/>
      <c r="N394" s="318"/>
      <c r="O394" s="318"/>
      <c r="P394" s="318"/>
      <c r="Q394" s="318"/>
      <c r="R394" s="318"/>
      <c r="S394" s="318"/>
      <c r="T394" s="318"/>
      <c r="U394" s="318"/>
      <c r="V394" s="318"/>
      <c r="W394" s="318"/>
      <c r="X394" s="318"/>
      <c r="Y394" s="318"/>
      <c r="Z394" s="318"/>
      <c r="AA394" s="318"/>
      <c r="AB394" s="318"/>
      <c r="AC394" s="318"/>
      <c r="AD394" s="318"/>
      <c r="AE394" s="318"/>
      <c r="AF394" s="318"/>
      <c r="AG394" s="318"/>
      <c r="AH394" s="318"/>
      <c r="AI394" s="318"/>
      <c r="AJ394" s="318"/>
      <c r="AK394" s="318"/>
      <c r="AL394" s="318"/>
      <c r="AM394" s="318"/>
      <c r="AN394" s="318"/>
      <c r="AO394" s="318"/>
      <c r="AP394" s="318"/>
    </row>
    <row r="395" spans="3:42" ht="15">
      <c r="C395" s="352"/>
      <c r="D395" s="318"/>
      <c r="E395" s="318"/>
      <c r="F395" s="318"/>
      <c r="G395" s="318"/>
      <c r="H395" s="318"/>
      <c r="I395" s="318"/>
      <c r="J395" s="318"/>
      <c r="K395" s="318"/>
      <c r="L395" s="318"/>
      <c r="M395" s="318"/>
      <c r="N395" s="318"/>
      <c r="O395" s="318"/>
      <c r="P395" s="318"/>
      <c r="Q395" s="318"/>
      <c r="R395" s="318"/>
      <c r="S395" s="318"/>
      <c r="T395" s="318"/>
      <c r="U395" s="318"/>
      <c r="V395" s="318"/>
      <c r="W395" s="318"/>
      <c r="X395" s="318"/>
      <c r="Y395" s="318"/>
      <c r="Z395" s="318"/>
      <c r="AA395" s="318"/>
      <c r="AB395" s="318"/>
      <c r="AC395" s="318"/>
      <c r="AD395" s="318"/>
      <c r="AE395" s="318"/>
      <c r="AF395" s="318"/>
      <c r="AG395" s="318"/>
      <c r="AH395" s="318"/>
      <c r="AI395" s="318"/>
      <c r="AJ395" s="318"/>
      <c r="AK395" s="318"/>
      <c r="AL395" s="318"/>
      <c r="AM395" s="318"/>
      <c r="AN395" s="318"/>
      <c r="AO395" s="318"/>
      <c r="AP395" s="318"/>
    </row>
    <row r="396" spans="3:42" ht="15">
      <c r="C396" s="352"/>
      <c r="D396" s="318"/>
      <c r="E396" s="318"/>
      <c r="F396" s="318"/>
      <c r="G396" s="318"/>
      <c r="H396" s="318"/>
      <c r="I396" s="318"/>
      <c r="J396" s="318"/>
      <c r="K396" s="318"/>
      <c r="L396" s="318"/>
      <c r="M396" s="318"/>
      <c r="N396" s="318"/>
      <c r="O396" s="318"/>
      <c r="P396" s="318"/>
      <c r="Q396" s="318"/>
      <c r="R396" s="318"/>
      <c r="S396" s="318"/>
      <c r="T396" s="318"/>
      <c r="U396" s="318"/>
      <c r="V396" s="318"/>
      <c r="W396" s="318"/>
      <c r="X396" s="318"/>
      <c r="Y396" s="318"/>
      <c r="Z396" s="318"/>
      <c r="AA396" s="318"/>
      <c r="AB396" s="318"/>
      <c r="AC396" s="318"/>
      <c r="AD396" s="318"/>
      <c r="AE396" s="318"/>
      <c r="AF396" s="318"/>
      <c r="AG396" s="318"/>
      <c r="AH396" s="318"/>
      <c r="AI396" s="318"/>
      <c r="AJ396" s="318"/>
      <c r="AK396" s="318"/>
      <c r="AL396" s="318"/>
      <c r="AM396" s="318"/>
      <c r="AN396" s="318"/>
      <c r="AO396" s="318"/>
      <c r="AP396" s="318"/>
    </row>
    <row r="397" spans="3:42" ht="15">
      <c r="C397" s="352"/>
      <c r="D397" s="318"/>
      <c r="E397" s="318"/>
      <c r="F397" s="318"/>
      <c r="G397" s="318"/>
      <c r="H397" s="318"/>
      <c r="I397" s="318"/>
      <c r="J397" s="318"/>
      <c r="K397" s="318"/>
      <c r="L397" s="318"/>
      <c r="M397" s="318"/>
      <c r="N397" s="318"/>
      <c r="O397" s="318"/>
      <c r="P397" s="318"/>
      <c r="Q397" s="318"/>
      <c r="R397" s="318"/>
      <c r="S397" s="318"/>
      <c r="T397" s="318"/>
      <c r="U397" s="318"/>
      <c r="V397" s="318"/>
      <c r="W397" s="318"/>
      <c r="X397" s="318"/>
      <c r="Y397" s="318"/>
      <c r="Z397" s="318"/>
      <c r="AA397" s="318"/>
      <c r="AB397" s="318"/>
      <c r="AC397" s="318"/>
      <c r="AD397" s="318"/>
      <c r="AE397" s="318"/>
      <c r="AF397" s="318"/>
      <c r="AG397" s="318"/>
      <c r="AH397" s="318"/>
      <c r="AI397" s="318"/>
      <c r="AJ397" s="318"/>
      <c r="AK397" s="318"/>
      <c r="AL397" s="318"/>
      <c r="AM397" s="318"/>
      <c r="AN397" s="318"/>
      <c r="AO397" s="318"/>
      <c r="AP397" s="318"/>
    </row>
    <row r="398" spans="3:42" ht="15">
      <c r="C398" s="352"/>
      <c r="D398" s="318"/>
      <c r="E398" s="318"/>
      <c r="F398" s="318"/>
      <c r="G398" s="318"/>
      <c r="H398" s="318"/>
      <c r="I398" s="318"/>
      <c r="J398" s="318"/>
      <c r="K398" s="318"/>
      <c r="L398" s="318"/>
      <c r="M398" s="318"/>
      <c r="N398" s="318"/>
      <c r="O398" s="318"/>
      <c r="P398" s="318"/>
      <c r="Q398" s="318"/>
      <c r="R398" s="318"/>
      <c r="S398" s="318"/>
      <c r="T398" s="318"/>
      <c r="U398" s="318"/>
      <c r="V398" s="318"/>
      <c r="W398" s="318"/>
      <c r="X398" s="318"/>
      <c r="Y398" s="318"/>
      <c r="Z398" s="318"/>
      <c r="AA398" s="318"/>
      <c r="AB398" s="318"/>
      <c r="AC398" s="318"/>
      <c r="AD398" s="318"/>
      <c r="AE398" s="318"/>
      <c r="AF398" s="318"/>
      <c r="AG398" s="318"/>
      <c r="AH398" s="318"/>
      <c r="AI398" s="318"/>
      <c r="AJ398" s="318"/>
      <c r="AK398" s="318"/>
      <c r="AL398" s="318"/>
      <c r="AM398" s="318"/>
      <c r="AN398" s="318"/>
      <c r="AO398" s="318"/>
      <c r="AP398" s="318"/>
    </row>
    <row r="399" spans="3:42" ht="15">
      <c r="C399" s="352"/>
      <c r="D399" s="318"/>
      <c r="E399" s="318"/>
      <c r="F399" s="318"/>
      <c r="G399" s="318"/>
      <c r="H399" s="318"/>
      <c r="I399" s="318"/>
      <c r="J399" s="318"/>
      <c r="K399" s="318"/>
      <c r="L399" s="318"/>
      <c r="M399" s="318"/>
      <c r="N399" s="318"/>
      <c r="O399" s="318"/>
      <c r="P399" s="318"/>
      <c r="Q399" s="318"/>
      <c r="R399" s="318"/>
      <c r="S399" s="318"/>
      <c r="T399" s="318"/>
      <c r="U399" s="318"/>
      <c r="V399" s="318"/>
      <c r="W399" s="318"/>
      <c r="X399" s="318"/>
      <c r="Y399" s="318"/>
      <c r="Z399" s="318"/>
      <c r="AA399" s="318"/>
      <c r="AB399" s="318"/>
      <c r="AC399" s="318"/>
      <c r="AD399" s="318"/>
      <c r="AE399" s="318"/>
      <c r="AF399" s="318"/>
      <c r="AG399" s="318"/>
      <c r="AH399" s="318"/>
      <c r="AI399" s="318"/>
      <c r="AJ399" s="318"/>
      <c r="AK399" s="318"/>
      <c r="AL399" s="318"/>
      <c r="AM399" s="318"/>
      <c r="AN399" s="318"/>
      <c r="AO399" s="318"/>
      <c r="AP399" s="318"/>
    </row>
    <row r="400" spans="3:42" ht="15">
      <c r="C400" s="352"/>
      <c r="D400" s="318"/>
      <c r="E400" s="318"/>
      <c r="F400" s="318"/>
      <c r="G400" s="318"/>
      <c r="H400" s="318"/>
      <c r="I400" s="318"/>
      <c r="J400" s="318"/>
      <c r="K400" s="318"/>
      <c r="L400" s="318"/>
      <c r="M400" s="318"/>
      <c r="N400" s="318"/>
      <c r="O400" s="318"/>
      <c r="P400" s="318"/>
      <c r="Q400" s="318"/>
      <c r="R400" s="318"/>
      <c r="S400" s="318"/>
      <c r="T400" s="318"/>
      <c r="U400" s="318"/>
      <c r="V400" s="318"/>
      <c r="W400" s="318"/>
      <c r="X400" s="318"/>
      <c r="Y400" s="318"/>
      <c r="Z400" s="318"/>
      <c r="AA400" s="318"/>
      <c r="AB400" s="318"/>
      <c r="AC400" s="318"/>
      <c r="AD400" s="318"/>
      <c r="AE400" s="318"/>
      <c r="AF400" s="318"/>
      <c r="AG400" s="318"/>
      <c r="AH400" s="318"/>
      <c r="AI400" s="318"/>
      <c r="AJ400" s="318"/>
      <c r="AK400" s="318"/>
      <c r="AL400" s="318"/>
      <c r="AM400" s="318"/>
      <c r="AN400" s="318"/>
      <c r="AO400" s="318"/>
      <c r="AP400" s="318"/>
    </row>
    <row r="401" spans="3:42" ht="15">
      <c r="C401" s="352"/>
      <c r="D401" s="318"/>
      <c r="E401" s="318"/>
      <c r="F401" s="318"/>
      <c r="G401" s="318"/>
      <c r="H401" s="318"/>
      <c r="I401" s="318"/>
      <c r="J401" s="318"/>
      <c r="K401" s="318"/>
      <c r="L401" s="318"/>
      <c r="M401" s="318"/>
      <c r="N401" s="318"/>
      <c r="O401" s="318"/>
      <c r="P401" s="318"/>
      <c r="Q401" s="318"/>
      <c r="R401" s="318"/>
      <c r="S401" s="318"/>
      <c r="T401" s="318"/>
      <c r="U401" s="318"/>
      <c r="V401" s="318"/>
      <c r="W401" s="318"/>
      <c r="X401" s="318"/>
      <c r="Y401" s="318"/>
      <c r="Z401" s="318"/>
      <c r="AA401" s="318"/>
      <c r="AB401" s="318"/>
      <c r="AC401" s="318"/>
      <c r="AD401" s="318"/>
      <c r="AE401" s="318"/>
      <c r="AF401" s="318"/>
      <c r="AG401" s="318"/>
      <c r="AH401" s="318"/>
      <c r="AI401" s="318"/>
      <c r="AJ401" s="318"/>
      <c r="AK401" s="318"/>
      <c r="AL401" s="318"/>
      <c r="AM401" s="318"/>
      <c r="AN401" s="318"/>
      <c r="AO401" s="318"/>
      <c r="AP401" s="318"/>
    </row>
    <row r="402" spans="3:42" ht="15">
      <c r="C402" s="352"/>
      <c r="D402" s="318"/>
      <c r="E402" s="318"/>
      <c r="F402" s="318"/>
      <c r="G402" s="318"/>
      <c r="H402" s="318"/>
      <c r="I402" s="318"/>
      <c r="J402" s="318"/>
      <c r="K402" s="318"/>
      <c r="L402" s="318"/>
      <c r="M402" s="318"/>
      <c r="N402" s="318"/>
      <c r="O402" s="318"/>
      <c r="P402" s="318"/>
      <c r="Q402" s="318"/>
      <c r="R402" s="318"/>
      <c r="S402" s="318"/>
      <c r="T402" s="318"/>
      <c r="U402" s="318"/>
      <c r="V402" s="318"/>
      <c r="W402" s="318"/>
      <c r="X402" s="318"/>
      <c r="Y402" s="318"/>
      <c r="Z402" s="318"/>
      <c r="AA402" s="318"/>
      <c r="AB402" s="318"/>
      <c r="AC402" s="318"/>
      <c r="AD402" s="318"/>
      <c r="AE402" s="318"/>
      <c r="AF402" s="318"/>
      <c r="AG402" s="318"/>
      <c r="AH402" s="318"/>
      <c r="AI402" s="318"/>
      <c r="AJ402" s="318"/>
      <c r="AK402" s="318"/>
      <c r="AL402" s="318"/>
      <c r="AM402" s="318"/>
      <c r="AN402" s="318"/>
      <c r="AO402" s="318"/>
      <c r="AP402" s="318"/>
    </row>
    <row r="403" spans="3:42" ht="15">
      <c r="C403" s="352"/>
      <c r="D403" s="318"/>
      <c r="E403" s="318"/>
      <c r="F403" s="318"/>
      <c r="G403" s="318"/>
      <c r="H403" s="318"/>
      <c r="I403" s="318"/>
      <c r="J403" s="318"/>
      <c r="K403" s="318"/>
      <c r="L403" s="318"/>
      <c r="M403" s="318"/>
      <c r="N403" s="318"/>
      <c r="O403" s="318"/>
      <c r="P403" s="318"/>
      <c r="Q403" s="318"/>
      <c r="R403" s="318"/>
      <c r="S403" s="318"/>
      <c r="T403" s="318"/>
      <c r="U403" s="318"/>
      <c r="V403" s="318"/>
      <c r="W403" s="318"/>
      <c r="X403" s="318"/>
      <c r="Y403" s="318"/>
      <c r="Z403" s="318"/>
      <c r="AA403" s="318"/>
      <c r="AB403" s="318"/>
      <c r="AC403" s="318"/>
      <c r="AD403" s="318"/>
      <c r="AE403" s="318"/>
      <c r="AF403" s="318"/>
      <c r="AG403" s="318"/>
      <c r="AH403" s="318"/>
      <c r="AI403" s="318"/>
      <c r="AJ403" s="318"/>
      <c r="AK403" s="318"/>
      <c r="AL403" s="318"/>
      <c r="AM403" s="318"/>
      <c r="AN403" s="318"/>
      <c r="AO403" s="318"/>
      <c r="AP403" s="318"/>
    </row>
    <row r="404" spans="3:42" ht="15">
      <c r="C404" s="352"/>
      <c r="D404" s="318"/>
      <c r="E404" s="318"/>
      <c r="F404" s="318"/>
      <c r="G404" s="318"/>
      <c r="H404" s="318"/>
      <c r="I404" s="318"/>
      <c r="J404" s="318"/>
      <c r="K404" s="318"/>
      <c r="L404" s="318"/>
      <c r="M404" s="318"/>
      <c r="N404" s="318"/>
      <c r="O404" s="318"/>
      <c r="P404" s="318"/>
      <c r="Q404" s="318"/>
      <c r="R404" s="318"/>
      <c r="S404" s="318"/>
      <c r="T404" s="318"/>
      <c r="U404" s="318"/>
      <c r="V404" s="318"/>
      <c r="W404" s="318"/>
      <c r="X404" s="318"/>
      <c r="Y404" s="318"/>
      <c r="Z404" s="318"/>
      <c r="AA404" s="318"/>
      <c r="AB404" s="318"/>
      <c r="AC404" s="318"/>
      <c r="AD404" s="318"/>
      <c r="AE404" s="318"/>
      <c r="AF404" s="318"/>
      <c r="AG404" s="318"/>
      <c r="AH404" s="318"/>
      <c r="AI404" s="318"/>
      <c r="AJ404" s="318"/>
      <c r="AK404" s="318"/>
      <c r="AL404" s="318"/>
      <c r="AM404" s="318"/>
      <c r="AN404" s="318"/>
      <c r="AO404" s="318"/>
      <c r="AP404" s="318"/>
    </row>
    <row r="405" spans="3:42" ht="15">
      <c r="C405" s="352"/>
      <c r="D405" s="318"/>
      <c r="E405" s="318"/>
      <c r="F405" s="318"/>
      <c r="G405" s="318"/>
      <c r="H405" s="318"/>
      <c r="I405" s="318"/>
      <c r="J405" s="318"/>
      <c r="K405" s="318"/>
      <c r="L405" s="318"/>
      <c r="M405" s="318"/>
      <c r="N405" s="318"/>
      <c r="O405" s="318"/>
      <c r="P405" s="318"/>
      <c r="Q405" s="318"/>
      <c r="R405" s="318"/>
      <c r="S405" s="318"/>
      <c r="T405" s="318"/>
      <c r="U405" s="318"/>
      <c r="V405" s="318"/>
      <c r="W405" s="318"/>
      <c r="X405" s="318"/>
      <c r="Y405" s="318"/>
      <c r="Z405" s="318"/>
      <c r="AA405" s="318"/>
      <c r="AB405" s="318"/>
      <c r="AC405" s="318"/>
      <c r="AD405" s="318"/>
      <c r="AE405" s="318"/>
      <c r="AF405" s="318"/>
      <c r="AG405" s="318"/>
      <c r="AH405" s="318"/>
      <c r="AI405" s="318"/>
      <c r="AJ405" s="318"/>
      <c r="AK405" s="318"/>
      <c r="AL405" s="318"/>
      <c r="AM405" s="318"/>
      <c r="AN405" s="318"/>
      <c r="AO405" s="318"/>
      <c r="AP405" s="318"/>
    </row>
    <row r="406" spans="3:42" ht="15">
      <c r="C406" s="352"/>
      <c r="D406" s="318"/>
      <c r="E406" s="318"/>
      <c r="F406" s="318"/>
      <c r="G406" s="318"/>
      <c r="H406" s="318"/>
      <c r="I406" s="318"/>
      <c r="J406" s="318"/>
      <c r="K406" s="318"/>
      <c r="L406" s="318"/>
      <c r="M406" s="318"/>
      <c r="N406" s="318"/>
      <c r="O406" s="318"/>
      <c r="P406" s="318"/>
      <c r="Q406" s="318"/>
      <c r="R406" s="318"/>
      <c r="S406" s="318"/>
      <c r="T406" s="318"/>
      <c r="U406" s="318"/>
      <c r="V406" s="318"/>
      <c r="W406" s="318"/>
      <c r="X406" s="318"/>
      <c r="Y406" s="318"/>
      <c r="Z406" s="318"/>
      <c r="AA406" s="318"/>
      <c r="AB406" s="318"/>
      <c r="AC406" s="318"/>
      <c r="AD406" s="318"/>
      <c r="AE406" s="318"/>
      <c r="AF406" s="318"/>
      <c r="AG406" s="318"/>
      <c r="AH406" s="318"/>
      <c r="AI406" s="318"/>
      <c r="AJ406" s="318"/>
      <c r="AK406" s="318"/>
      <c r="AL406" s="318"/>
      <c r="AM406" s="318"/>
      <c r="AN406" s="318"/>
      <c r="AO406" s="318"/>
      <c r="AP406" s="318"/>
    </row>
    <row r="407" spans="3:42" ht="15">
      <c r="C407" s="352"/>
      <c r="D407" s="318"/>
      <c r="E407" s="318"/>
      <c r="F407" s="318"/>
      <c r="G407" s="318"/>
      <c r="H407" s="318"/>
      <c r="I407" s="318"/>
      <c r="J407" s="318"/>
      <c r="K407" s="318"/>
      <c r="L407" s="318"/>
      <c r="M407" s="318"/>
      <c r="N407" s="318"/>
      <c r="O407" s="318"/>
      <c r="P407" s="318"/>
      <c r="Q407" s="318"/>
      <c r="R407" s="318"/>
      <c r="S407" s="318"/>
      <c r="T407" s="318"/>
      <c r="U407" s="318"/>
      <c r="V407" s="318"/>
      <c r="W407" s="318"/>
      <c r="X407" s="318"/>
      <c r="Y407" s="318"/>
      <c r="Z407" s="318"/>
      <c r="AA407" s="318"/>
      <c r="AB407" s="318"/>
      <c r="AC407" s="318"/>
      <c r="AD407" s="318"/>
      <c r="AE407" s="318"/>
      <c r="AF407" s="318"/>
      <c r="AG407" s="318"/>
      <c r="AH407" s="318"/>
      <c r="AI407" s="318"/>
      <c r="AJ407" s="318"/>
      <c r="AK407" s="318"/>
      <c r="AL407" s="318"/>
      <c r="AM407" s="318"/>
      <c r="AN407" s="318"/>
      <c r="AO407" s="318"/>
      <c r="AP407" s="318"/>
    </row>
    <row r="408" spans="3:42" ht="15">
      <c r="C408" s="352"/>
      <c r="D408" s="318"/>
      <c r="E408" s="318"/>
      <c r="F408" s="318"/>
      <c r="G408" s="318"/>
      <c r="H408" s="318"/>
      <c r="I408" s="318"/>
      <c r="J408" s="318"/>
      <c r="K408" s="318"/>
      <c r="L408" s="318"/>
      <c r="M408" s="318"/>
      <c r="N408" s="318"/>
      <c r="O408" s="318"/>
      <c r="P408" s="318"/>
      <c r="Q408" s="318"/>
      <c r="R408" s="318"/>
      <c r="S408" s="318"/>
      <c r="T408" s="318"/>
      <c r="U408" s="318"/>
      <c r="V408" s="318"/>
      <c r="W408" s="318"/>
      <c r="X408" s="318"/>
      <c r="Y408" s="318"/>
      <c r="Z408" s="318"/>
      <c r="AA408" s="318"/>
      <c r="AB408" s="318"/>
      <c r="AC408" s="318"/>
      <c r="AD408" s="318"/>
      <c r="AE408" s="318"/>
      <c r="AF408" s="318"/>
      <c r="AG408" s="318"/>
      <c r="AH408" s="318"/>
      <c r="AI408" s="318"/>
      <c r="AJ408" s="318"/>
      <c r="AK408" s="318"/>
      <c r="AL408" s="318"/>
      <c r="AM408" s="318"/>
      <c r="AN408" s="318"/>
      <c r="AO408" s="318"/>
      <c r="AP408" s="318"/>
    </row>
    <row r="409" spans="3:42" ht="15">
      <c r="C409" s="352"/>
      <c r="D409" s="318"/>
      <c r="E409" s="318"/>
      <c r="F409" s="318"/>
      <c r="G409" s="318"/>
      <c r="H409" s="318"/>
      <c r="I409" s="318"/>
      <c r="J409" s="318"/>
      <c r="K409" s="318"/>
      <c r="L409" s="318"/>
      <c r="M409" s="318"/>
      <c r="N409" s="318"/>
      <c r="O409" s="318"/>
      <c r="P409" s="318"/>
      <c r="Q409" s="318"/>
      <c r="R409" s="318"/>
      <c r="S409" s="318"/>
      <c r="T409" s="318"/>
      <c r="U409" s="318"/>
      <c r="V409" s="318"/>
      <c r="W409" s="318"/>
      <c r="X409" s="318"/>
      <c r="Y409" s="318"/>
      <c r="Z409" s="318"/>
      <c r="AA409" s="318"/>
      <c r="AB409" s="318"/>
      <c r="AC409" s="318"/>
      <c r="AD409" s="318"/>
      <c r="AE409" s="318"/>
      <c r="AF409" s="318"/>
      <c r="AG409" s="318"/>
      <c r="AH409" s="318"/>
      <c r="AI409" s="318"/>
      <c r="AJ409" s="318"/>
      <c r="AK409" s="318"/>
      <c r="AL409" s="318"/>
      <c r="AM409" s="318"/>
      <c r="AN409" s="318"/>
      <c r="AO409" s="318"/>
      <c r="AP409" s="318"/>
    </row>
    <row r="410" spans="3:42" ht="15">
      <c r="C410" s="352"/>
      <c r="D410" s="318"/>
      <c r="E410" s="318"/>
      <c r="F410" s="318"/>
      <c r="G410" s="318"/>
      <c r="H410" s="318"/>
      <c r="I410" s="318"/>
      <c r="J410" s="318"/>
      <c r="K410" s="318"/>
      <c r="L410" s="318"/>
      <c r="M410" s="318"/>
      <c r="N410" s="318"/>
      <c r="O410" s="318"/>
      <c r="P410" s="318"/>
      <c r="Q410" s="318"/>
      <c r="R410" s="318"/>
      <c r="S410" s="318"/>
      <c r="T410" s="318"/>
      <c r="U410" s="318"/>
      <c r="V410" s="318"/>
      <c r="W410" s="318"/>
      <c r="X410" s="318"/>
      <c r="Y410" s="318"/>
      <c r="Z410" s="318"/>
      <c r="AA410" s="318"/>
      <c r="AB410" s="318"/>
      <c r="AC410" s="318"/>
      <c r="AD410" s="318"/>
      <c r="AE410" s="318"/>
      <c r="AF410" s="318"/>
      <c r="AG410" s="318"/>
      <c r="AH410" s="318"/>
      <c r="AI410" s="318"/>
      <c r="AJ410" s="318"/>
      <c r="AK410" s="318"/>
      <c r="AL410" s="318"/>
      <c r="AM410" s="318"/>
      <c r="AN410" s="318"/>
      <c r="AO410" s="318"/>
      <c r="AP410" s="318"/>
    </row>
    <row r="411" spans="3:42" ht="15">
      <c r="C411" s="352"/>
      <c r="D411" s="318"/>
      <c r="E411" s="318"/>
      <c r="F411" s="318"/>
      <c r="G411" s="318"/>
      <c r="H411" s="318"/>
      <c r="I411" s="318"/>
      <c r="J411" s="318"/>
      <c r="K411" s="318"/>
      <c r="L411" s="318"/>
      <c r="M411" s="318"/>
      <c r="N411" s="318"/>
      <c r="O411" s="318"/>
      <c r="P411" s="318"/>
      <c r="Q411" s="318"/>
      <c r="R411" s="318"/>
      <c r="S411" s="318"/>
      <c r="T411" s="318"/>
      <c r="U411" s="318"/>
      <c r="V411" s="318"/>
      <c r="W411" s="318"/>
      <c r="X411" s="318"/>
      <c r="Y411" s="318"/>
      <c r="Z411" s="318"/>
      <c r="AA411" s="318"/>
      <c r="AB411" s="318"/>
      <c r="AC411" s="318"/>
      <c r="AD411" s="318"/>
      <c r="AE411" s="318"/>
      <c r="AF411" s="318"/>
      <c r="AG411" s="318"/>
      <c r="AH411" s="318"/>
      <c r="AI411" s="318"/>
      <c r="AJ411" s="318"/>
      <c r="AK411" s="318"/>
      <c r="AL411" s="318"/>
      <c r="AM411" s="318"/>
      <c r="AN411" s="318"/>
      <c r="AO411" s="318"/>
      <c r="AP411" s="318"/>
    </row>
    <row r="412" spans="3:42" ht="15">
      <c r="C412" s="352"/>
      <c r="D412" s="318"/>
      <c r="E412" s="318"/>
      <c r="F412" s="318"/>
      <c r="G412" s="318"/>
      <c r="H412" s="318"/>
      <c r="I412" s="318"/>
      <c r="J412" s="318"/>
      <c r="K412" s="318"/>
      <c r="L412" s="318"/>
      <c r="M412" s="318"/>
      <c r="N412" s="318"/>
      <c r="O412" s="318"/>
      <c r="P412" s="318"/>
      <c r="Q412" s="318"/>
      <c r="R412" s="318"/>
      <c r="S412" s="318"/>
      <c r="T412" s="318"/>
      <c r="U412" s="318"/>
      <c r="V412" s="318"/>
      <c r="W412" s="318"/>
      <c r="X412" s="318"/>
      <c r="Y412" s="318"/>
      <c r="Z412" s="318"/>
      <c r="AA412" s="318"/>
      <c r="AB412" s="318"/>
      <c r="AC412" s="318"/>
      <c r="AD412" s="318"/>
      <c r="AE412" s="318"/>
      <c r="AF412" s="318"/>
      <c r="AG412" s="318"/>
      <c r="AH412" s="318"/>
      <c r="AI412" s="318"/>
      <c r="AJ412" s="318"/>
      <c r="AK412" s="318"/>
      <c r="AL412" s="318"/>
      <c r="AM412" s="318"/>
      <c r="AN412" s="318"/>
      <c r="AO412" s="318"/>
      <c r="AP412" s="318"/>
    </row>
    <row r="413" spans="3:42" ht="15">
      <c r="C413" s="352"/>
      <c r="D413" s="318"/>
      <c r="E413" s="318"/>
      <c r="F413" s="318"/>
      <c r="G413" s="318"/>
      <c r="H413" s="318"/>
      <c r="I413" s="318"/>
      <c r="J413" s="318"/>
      <c r="K413" s="318"/>
      <c r="L413" s="318"/>
      <c r="M413" s="318"/>
      <c r="N413" s="318"/>
      <c r="O413" s="318"/>
      <c r="P413" s="318"/>
      <c r="Q413" s="318"/>
      <c r="R413" s="318"/>
      <c r="S413" s="318"/>
      <c r="T413" s="318"/>
      <c r="U413" s="318"/>
      <c r="V413" s="318"/>
      <c r="W413" s="318"/>
      <c r="X413" s="318"/>
      <c r="Y413" s="318"/>
      <c r="Z413" s="318"/>
      <c r="AA413" s="318"/>
      <c r="AB413" s="318"/>
      <c r="AC413" s="318"/>
      <c r="AD413" s="318"/>
      <c r="AE413" s="318"/>
      <c r="AF413" s="318"/>
      <c r="AG413" s="318"/>
      <c r="AH413" s="318"/>
      <c r="AI413" s="318"/>
      <c r="AJ413" s="318"/>
      <c r="AK413" s="318"/>
      <c r="AL413" s="318"/>
      <c r="AM413" s="318"/>
      <c r="AN413" s="318"/>
      <c r="AO413" s="318"/>
      <c r="AP413" s="318"/>
    </row>
    <row r="414" spans="3:42" ht="15">
      <c r="C414" s="352"/>
      <c r="D414" s="318"/>
      <c r="E414" s="318"/>
      <c r="F414" s="318"/>
      <c r="G414" s="318"/>
      <c r="H414" s="318"/>
      <c r="I414" s="318"/>
      <c r="J414" s="318"/>
      <c r="K414" s="318"/>
      <c r="L414" s="318"/>
      <c r="M414" s="318"/>
      <c r="N414" s="318"/>
      <c r="O414" s="318"/>
      <c r="P414" s="318"/>
      <c r="Q414" s="318"/>
      <c r="R414" s="318"/>
      <c r="S414" s="318"/>
      <c r="T414" s="318"/>
      <c r="U414" s="318"/>
      <c r="V414" s="318"/>
      <c r="W414" s="318"/>
      <c r="X414" s="318"/>
      <c r="Y414" s="318"/>
      <c r="Z414" s="318"/>
      <c r="AA414" s="318"/>
      <c r="AB414" s="318"/>
      <c r="AC414" s="318"/>
      <c r="AD414" s="318"/>
      <c r="AE414" s="318"/>
      <c r="AF414" s="318"/>
      <c r="AG414" s="318"/>
      <c r="AH414" s="318"/>
      <c r="AI414" s="318"/>
      <c r="AJ414" s="318"/>
      <c r="AK414" s="318"/>
      <c r="AL414" s="318"/>
      <c r="AM414" s="318"/>
      <c r="AN414" s="318"/>
      <c r="AO414" s="318"/>
      <c r="AP414" s="318"/>
    </row>
    <row r="415" spans="3:42" ht="15">
      <c r="C415" s="352"/>
      <c r="D415" s="318"/>
      <c r="E415" s="318"/>
      <c r="F415" s="318"/>
      <c r="G415" s="318"/>
      <c r="H415" s="318"/>
      <c r="I415" s="318"/>
      <c r="J415" s="318"/>
      <c r="K415" s="318"/>
      <c r="L415" s="318"/>
      <c r="M415" s="318"/>
      <c r="N415" s="318"/>
      <c r="O415" s="318"/>
      <c r="P415" s="318"/>
      <c r="Q415" s="318"/>
      <c r="R415" s="318"/>
      <c r="S415" s="318"/>
      <c r="T415" s="318"/>
      <c r="U415" s="318"/>
      <c r="V415" s="318"/>
      <c r="W415" s="318"/>
      <c r="X415" s="318"/>
      <c r="Y415" s="318"/>
      <c r="Z415" s="318"/>
      <c r="AA415" s="318"/>
      <c r="AB415" s="318"/>
      <c r="AC415" s="318"/>
      <c r="AD415" s="318"/>
      <c r="AE415" s="318"/>
      <c r="AF415" s="318"/>
      <c r="AG415" s="318"/>
      <c r="AH415" s="318"/>
      <c r="AI415" s="318"/>
      <c r="AJ415" s="318"/>
      <c r="AK415" s="318"/>
      <c r="AL415" s="318"/>
      <c r="AM415" s="318"/>
      <c r="AN415" s="318"/>
      <c r="AO415" s="318"/>
      <c r="AP415" s="318"/>
    </row>
    <row r="416" spans="3:42" ht="15">
      <c r="C416" s="352"/>
      <c r="D416" s="318"/>
      <c r="E416" s="318"/>
      <c r="F416" s="318"/>
      <c r="G416" s="318"/>
      <c r="H416" s="318"/>
      <c r="I416" s="318"/>
      <c r="J416" s="318"/>
      <c r="K416" s="318"/>
      <c r="L416" s="318"/>
      <c r="M416" s="318"/>
      <c r="N416" s="318"/>
      <c r="O416" s="318"/>
      <c r="P416" s="318"/>
      <c r="Q416" s="318"/>
      <c r="R416" s="318"/>
      <c r="S416" s="318"/>
      <c r="T416" s="318"/>
      <c r="U416" s="318"/>
      <c r="V416" s="318"/>
      <c r="W416" s="318"/>
      <c r="X416" s="318"/>
      <c r="Y416" s="318"/>
      <c r="Z416" s="318"/>
      <c r="AA416" s="318"/>
      <c r="AB416" s="318"/>
      <c r="AC416" s="318"/>
      <c r="AD416" s="318"/>
      <c r="AE416" s="318"/>
      <c r="AF416" s="318"/>
      <c r="AG416" s="318"/>
      <c r="AH416" s="318"/>
      <c r="AI416" s="318"/>
      <c r="AJ416" s="318"/>
      <c r="AK416" s="318"/>
      <c r="AL416" s="318"/>
      <c r="AM416" s="318"/>
      <c r="AN416" s="318"/>
      <c r="AO416" s="318"/>
      <c r="AP416" s="318"/>
    </row>
    <row r="417" spans="3:42" ht="15">
      <c r="C417" s="352"/>
      <c r="D417" s="318"/>
      <c r="E417" s="318"/>
      <c r="F417" s="318"/>
      <c r="G417" s="318"/>
      <c r="H417" s="318"/>
      <c r="I417" s="318"/>
      <c r="J417" s="318"/>
      <c r="K417" s="318"/>
      <c r="L417" s="318"/>
      <c r="M417" s="318"/>
      <c r="N417" s="318"/>
      <c r="O417" s="318"/>
      <c r="P417" s="318"/>
      <c r="Q417" s="318"/>
      <c r="R417" s="318"/>
      <c r="S417" s="318"/>
      <c r="T417" s="318"/>
      <c r="U417" s="318"/>
      <c r="V417" s="318"/>
      <c r="W417" s="318"/>
      <c r="X417" s="318"/>
      <c r="Y417" s="318"/>
      <c r="Z417" s="318"/>
      <c r="AA417" s="318"/>
      <c r="AB417" s="318"/>
      <c r="AC417" s="318"/>
      <c r="AD417" s="318"/>
      <c r="AE417" s="318"/>
      <c r="AF417" s="318"/>
      <c r="AG417" s="318"/>
      <c r="AH417" s="318"/>
      <c r="AI417" s="318"/>
      <c r="AJ417" s="318"/>
      <c r="AK417" s="318"/>
      <c r="AL417" s="318"/>
      <c r="AM417" s="318"/>
      <c r="AN417" s="318"/>
      <c r="AO417" s="318"/>
      <c r="AP417" s="318"/>
    </row>
    <row r="418" spans="3:42" ht="15">
      <c r="C418" s="352"/>
      <c r="D418" s="318"/>
      <c r="E418" s="318"/>
      <c r="F418" s="318"/>
      <c r="G418" s="318"/>
      <c r="H418" s="318"/>
      <c r="I418" s="318"/>
      <c r="J418" s="318"/>
      <c r="K418" s="318"/>
      <c r="L418" s="318"/>
      <c r="M418" s="318"/>
      <c r="N418" s="318"/>
      <c r="O418" s="318"/>
      <c r="P418" s="318"/>
      <c r="Q418" s="318"/>
      <c r="R418" s="318"/>
      <c r="S418" s="318"/>
      <c r="T418" s="318"/>
      <c r="U418" s="318"/>
      <c r="V418" s="318"/>
      <c r="W418" s="318"/>
      <c r="X418" s="318"/>
      <c r="Y418" s="318"/>
      <c r="Z418" s="318"/>
      <c r="AA418" s="318"/>
      <c r="AB418" s="318"/>
      <c r="AC418" s="318"/>
      <c r="AD418" s="318"/>
      <c r="AE418" s="318"/>
      <c r="AF418" s="318"/>
      <c r="AG418" s="318"/>
      <c r="AH418" s="318"/>
      <c r="AI418" s="318"/>
      <c r="AJ418" s="318"/>
      <c r="AK418" s="318"/>
      <c r="AL418" s="318"/>
      <c r="AM418" s="318"/>
      <c r="AN418" s="318"/>
      <c r="AO418" s="318"/>
      <c r="AP418" s="318"/>
    </row>
    <row r="419" spans="3:42" ht="15">
      <c r="C419" s="352"/>
      <c r="D419" s="318"/>
      <c r="E419" s="318"/>
      <c r="F419" s="318"/>
      <c r="G419" s="318"/>
      <c r="H419" s="318"/>
      <c r="I419" s="318"/>
      <c r="J419" s="318"/>
      <c r="K419" s="318"/>
      <c r="L419" s="318"/>
      <c r="M419" s="318"/>
      <c r="N419" s="318"/>
      <c r="O419" s="318"/>
      <c r="P419" s="318"/>
      <c r="Q419" s="318"/>
      <c r="R419" s="318"/>
      <c r="S419" s="318"/>
      <c r="T419" s="318"/>
      <c r="U419" s="318"/>
      <c r="V419" s="318"/>
      <c r="W419" s="318"/>
      <c r="X419" s="318"/>
      <c r="Y419" s="318"/>
      <c r="Z419" s="318"/>
      <c r="AA419" s="318"/>
      <c r="AB419" s="318"/>
      <c r="AC419" s="318"/>
      <c r="AD419" s="318"/>
      <c r="AE419" s="318"/>
      <c r="AF419" s="318"/>
      <c r="AG419" s="318"/>
      <c r="AH419" s="318"/>
      <c r="AI419" s="318"/>
      <c r="AJ419" s="318"/>
      <c r="AK419" s="318"/>
      <c r="AL419" s="318"/>
      <c r="AM419" s="318"/>
      <c r="AN419" s="318"/>
      <c r="AO419" s="318"/>
      <c r="AP419" s="318"/>
    </row>
    <row r="420" spans="3:42" ht="15">
      <c r="C420" s="352"/>
      <c r="D420" s="318"/>
      <c r="E420" s="318"/>
      <c r="F420" s="318"/>
      <c r="G420" s="318"/>
      <c r="H420" s="318"/>
      <c r="I420" s="318"/>
      <c r="J420" s="318"/>
      <c r="K420" s="318"/>
      <c r="L420" s="318"/>
      <c r="M420" s="318"/>
      <c r="N420" s="318"/>
      <c r="O420" s="318"/>
      <c r="P420" s="318"/>
      <c r="Q420" s="318"/>
      <c r="R420" s="318"/>
      <c r="S420" s="318"/>
      <c r="T420" s="318"/>
      <c r="U420" s="318"/>
      <c r="V420" s="318"/>
      <c r="W420" s="318"/>
      <c r="X420" s="318"/>
      <c r="Y420" s="318"/>
      <c r="Z420" s="318"/>
      <c r="AA420" s="318"/>
      <c r="AB420" s="318"/>
      <c r="AC420" s="318"/>
      <c r="AD420" s="318"/>
      <c r="AE420" s="318"/>
      <c r="AF420" s="318"/>
      <c r="AG420" s="318"/>
      <c r="AH420" s="318"/>
      <c r="AI420" s="318"/>
      <c r="AJ420" s="318"/>
      <c r="AK420" s="318"/>
      <c r="AL420" s="318"/>
      <c r="AM420" s="318"/>
      <c r="AN420" s="318"/>
      <c r="AO420" s="318"/>
      <c r="AP420" s="318"/>
    </row>
    <row r="421" spans="3:42" ht="15">
      <c r="C421" s="352"/>
      <c r="D421" s="318"/>
      <c r="E421" s="318"/>
      <c r="F421" s="318"/>
      <c r="G421" s="318"/>
      <c r="H421" s="318"/>
      <c r="I421" s="318"/>
      <c r="J421" s="318"/>
      <c r="K421" s="318"/>
      <c r="L421" s="318"/>
      <c r="M421" s="318"/>
      <c r="N421" s="318"/>
      <c r="O421" s="318"/>
      <c r="P421" s="318"/>
      <c r="Q421" s="318"/>
      <c r="R421" s="318"/>
      <c r="S421" s="318"/>
      <c r="T421" s="318"/>
      <c r="U421" s="318"/>
      <c r="V421" s="318"/>
      <c r="W421" s="318"/>
      <c r="X421" s="318"/>
      <c r="Y421" s="318"/>
      <c r="Z421" s="318"/>
      <c r="AA421" s="318"/>
      <c r="AB421" s="318"/>
      <c r="AC421" s="318"/>
      <c r="AD421" s="318"/>
      <c r="AE421" s="318"/>
      <c r="AF421" s="318"/>
      <c r="AG421" s="318"/>
      <c r="AH421" s="318"/>
      <c r="AI421" s="318"/>
      <c r="AJ421" s="318"/>
      <c r="AK421" s="318"/>
      <c r="AL421" s="318"/>
      <c r="AM421" s="318"/>
      <c r="AN421" s="318"/>
      <c r="AO421" s="318"/>
      <c r="AP421" s="318"/>
    </row>
    <row r="422" spans="3:42" ht="15">
      <c r="C422" s="352"/>
      <c r="D422" s="318"/>
      <c r="E422" s="318"/>
      <c r="F422" s="318"/>
      <c r="G422" s="318"/>
      <c r="H422" s="318"/>
      <c r="I422" s="318"/>
      <c r="J422" s="318"/>
      <c r="K422" s="318"/>
      <c r="L422" s="318"/>
      <c r="M422" s="318"/>
      <c r="N422" s="318"/>
      <c r="O422" s="318"/>
      <c r="P422" s="318"/>
      <c r="Q422" s="318"/>
      <c r="R422" s="318"/>
      <c r="S422" s="318"/>
      <c r="T422" s="318"/>
      <c r="U422" s="318"/>
      <c r="V422" s="318"/>
      <c r="W422" s="318"/>
      <c r="X422" s="318"/>
      <c r="Y422" s="318"/>
      <c r="Z422" s="318"/>
      <c r="AA422" s="318"/>
      <c r="AB422" s="318"/>
      <c r="AC422" s="318"/>
      <c r="AD422" s="318"/>
      <c r="AE422" s="318"/>
      <c r="AF422" s="318"/>
      <c r="AG422" s="318"/>
      <c r="AH422" s="318"/>
      <c r="AI422" s="318"/>
      <c r="AJ422" s="318"/>
      <c r="AK422" s="318"/>
      <c r="AL422" s="318"/>
      <c r="AM422" s="318"/>
      <c r="AN422" s="318"/>
      <c r="AO422" s="318"/>
      <c r="AP422" s="318"/>
    </row>
    <row r="423" spans="3:42" ht="15">
      <c r="C423" s="352"/>
      <c r="D423" s="318"/>
      <c r="E423" s="318"/>
      <c r="F423" s="318"/>
      <c r="G423" s="318"/>
      <c r="H423" s="318"/>
      <c r="I423" s="318"/>
      <c r="J423" s="318"/>
      <c r="K423" s="318"/>
      <c r="L423" s="318"/>
      <c r="M423" s="318"/>
      <c r="N423" s="318"/>
      <c r="O423" s="318"/>
      <c r="P423" s="318"/>
      <c r="Q423" s="318"/>
      <c r="R423" s="318"/>
      <c r="S423" s="318"/>
      <c r="T423" s="318"/>
      <c r="U423" s="318"/>
      <c r="V423" s="318"/>
      <c r="W423" s="318"/>
      <c r="X423" s="318"/>
      <c r="Y423" s="318"/>
      <c r="Z423" s="318"/>
      <c r="AA423" s="318"/>
      <c r="AB423" s="318"/>
      <c r="AC423" s="318"/>
      <c r="AD423" s="318"/>
      <c r="AE423" s="318"/>
      <c r="AF423" s="318"/>
      <c r="AG423" s="318"/>
      <c r="AH423" s="318"/>
      <c r="AI423" s="318"/>
      <c r="AJ423" s="318"/>
      <c r="AK423" s="318"/>
      <c r="AL423" s="318"/>
      <c r="AM423" s="318"/>
      <c r="AN423" s="318"/>
      <c r="AO423" s="318"/>
      <c r="AP423" s="318"/>
    </row>
    <row r="424" spans="3:42" ht="15">
      <c r="C424" s="352"/>
      <c r="D424" s="318"/>
      <c r="E424" s="318"/>
      <c r="F424" s="318"/>
      <c r="G424" s="318"/>
      <c r="H424" s="318"/>
      <c r="I424" s="318"/>
      <c r="J424" s="318"/>
      <c r="K424" s="318"/>
      <c r="L424" s="318"/>
      <c r="M424" s="318"/>
      <c r="N424" s="318"/>
      <c r="O424" s="318"/>
      <c r="P424" s="318"/>
      <c r="Q424" s="318"/>
      <c r="R424" s="318"/>
      <c r="S424" s="318"/>
      <c r="T424" s="318"/>
      <c r="U424" s="318"/>
      <c r="V424" s="318"/>
      <c r="W424" s="318"/>
      <c r="X424" s="318"/>
      <c r="Y424" s="318"/>
      <c r="Z424" s="318"/>
      <c r="AA424" s="318"/>
      <c r="AB424" s="318"/>
      <c r="AC424" s="318"/>
      <c r="AD424" s="318"/>
      <c r="AE424" s="318"/>
      <c r="AF424" s="318"/>
      <c r="AG424" s="318"/>
      <c r="AH424" s="318"/>
      <c r="AI424" s="318"/>
      <c r="AJ424" s="318"/>
      <c r="AK424" s="318"/>
      <c r="AL424" s="318"/>
      <c r="AM424" s="318"/>
      <c r="AN424" s="318"/>
      <c r="AO424" s="318"/>
      <c r="AP424" s="318"/>
    </row>
    <row r="425" spans="3:42" ht="15">
      <c r="C425" s="352"/>
      <c r="D425" s="318"/>
      <c r="E425" s="318"/>
      <c r="F425" s="318"/>
      <c r="G425" s="318"/>
      <c r="H425" s="318"/>
      <c r="I425" s="318"/>
      <c r="J425" s="318"/>
      <c r="K425" s="318"/>
      <c r="L425" s="318"/>
      <c r="M425" s="318"/>
      <c r="N425" s="318"/>
      <c r="O425" s="318"/>
      <c r="P425" s="318"/>
      <c r="Q425" s="318"/>
      <c r="R425" s="318"/>
      <c r="S425" s="318"/>
      <c r="T425" s="318"/>
      <c r="U425" s="318"/>
      <c r="V425" s="318"/>
      <c r="W425" s="318"/>
      <c r="X425" s="318"/>
      <c r="Y425" s="318"/>
      <c r="Z425" s="318"/>
      <c r="AA425" s="318"/>
      <c r="AB425" s="318"/>
      <c r="AC425" s="318"/>
      <c r="AD425" s="318"/>
      <c r="AE425" s="318"/>
      <c r="AF425" s="318"/>
      <c r="AG425" s="318"/>
      <c r="AH425" s="318"/>
      <c r="AI425" s="318"/>
      <c r="AJ425" s="318"/>
      <c r="AK425" s="318"/>
      <c r="AL425" s="318"/>
      <c r="AM425" s="318"/>
      <c r="AN425" s="318"/>
      <c r="AO425" s="318"/>
      <c r="AP425" s="318"/>
    </row>
    <row r="426" spans="3:42" ht="15">
      <c r="C426" s="352"/>
      <c r="D426" s="318"/>
      <c r="E426" s="318"/>
      <c r="F426" s="318"/>
      <c r="G426" s="318"/>
      <c r="H426" s="318"/>
      <c r="I426" s="318"/>
      <c r="J426" s="318"/>
      <c r="K426" s="318"/>
      <c r="L426" s="318"/>
      <c r="M426" s="318"/>
      <c r="N426" s="318"/>
      <c r="O426" s="318"/>
      <c r="P426" s="318"/>
      <c r="Q426" s="318"/>
      <c r="R426" s="318"/>
      <c r="S426" s="318"/>
      <c r="T426" s="318"/>
      <c r="U426" s="318"/>
      <c r="V426" s="318"/>
      <c r="W426" s="318"/>
      <c r="X426" s="318"/>
      <c r="Y426" s="318"/>
      <c r="Z426" s="318"/>
      <c r="AA426" s="318"/>
      <c r="AB426" s="318"/>
      <c r="AC426" s="318"/>
      <c r="AD426" s="318"/>
      <c r="AE426" s="318"/>
      <c r="AF426" s="318"/>
      <c r="AG426" s="318"/>
      <c r="AH426" s="318"/>
      <c r="AI426" s="318"/>
      <c r="AJ426" s="318"/>
      <c r="AK426" s="318"/>
      <c r="AL426" s="318"/>
      <c r="AM426" s="318"/>
      <c r="AN426" s="318"/>
      <c r="AO426" s="318"/>
      <c r="AP426" s="318"/>
    </row>
    <row r="427" spans="3:42" ht="15">
      <c r="C427" s="352"/>
      <c r="D427" s="318"/>
      <c r="E427" s="318"/>
      <c r="F427" s="318"/>
      <c r="G427" s="318"/>
      <c r="H427" s="318"/>
      <c r="I427" s="318"/>
      <c r="J427" s="318"/>
      <c r="K427" s="318"/>
      <c r="L427" s="318"/>
      <c r="M427" s="318"/>
      <c r="N427" s="318"/>
      <c r="O427" s="318"/>
      <c r="P427" s="318"/>
      <c r="Q427" s="318"/>
      <c r="R427" s="318"/>
      <c r="S427" s="318"/>
      <c r="T427" s="318"/>
      <c r="U427" s="318"/>
      <c r="V427" s="318"/>
      <c r="W427" s="318"/>
      <c r="X427" s="318"/>
      <c r="Y427" s="318"/>
      <c r="Z427" s="318"/>
      <c r="AA427" s="318"/>
      <c r="AB427" s="318"/>
      <c r="AC427" s="318"/>
      <c r="AD427" s="318"/>
      <c r="AE427" s="318"/>
      <c r="AF427" s="318"/>
      <c r="AG427" s="318"/>
      <c r="AH427" s="318"/>
      <c r="AI427" s="318"/>
      <c r="AJ427" s="318"/>
      <c r="AK427" s="318"/>
      <c r="AL427" s="318"/>
      <c r="AM427" s="318"/>
      <c r="AN427" s="318"/>
      <c r="AO427" s="318"/>
      <c r="AP427" s="318"/>
    </row>
    <row r="428" spans="3:42" ht="15">
      <c r="C428" s="352"/>
      <c r="D428" s="318"/>
      <c r="E428" s="318"/>
      <c r="F428" s="318"/>
      <c r="G428" s="318"/>
      <c r="H428" s="318"/>
      <c r="I428" s="318"/>
      <c r="J428" s="318"/>
      <c r="K428" s="318"/>
      <c r="L428" s="318"/>
      <c r="M428" s="318"/>
      <c r="N428" s="318"/>
      <c r="O428" s="318"/>
      <c r="P428" s="318"/>
      <c r="Q428" s="318"/>
      <c r="R428" s="318"/>
      <c r="S428" s="318"/>
      <c r="T428" s="318"/>
      <c r="U428" s="318"/>
      <c r="V428" s="318"/>
      <c r="W428" s="318"/>
      <c r="X428" s="318"/>
      <c r="Y428" s="318"/>
      <c r="Z428" s="318"/>
      <c r="AA428" s="318"/>
      <c r="AB428" s="318"/>
      <c r="AC428" s="318"/>
      <c r="AD428" s="318"/>
      <c r="AE428" s="318"/>
      <c r="AF428" s="318"/>
      <c r="AG428" s="318"/>
      <c r="AH428" s="318"/>
      <c r="AI428" s="318"/>
      <c r="AJ428" s="318"/>
      <c r="AK428" s="318"/>
      <c r="AL428" s="318"/>
      <c r="AM428" s="318"/>
      <c r="AN428" s="318"/>
      <c r="AO428" s="318"/>
      <c r="AP428" s="318"/>
    </row>
    <row r="429" spans="3:42" ht="15">
      <c r="C429" s="352"/>
      <c r="D429" s="318"/>
      <c r="E429" s="318"/>
      <c r="F429" s="318"/>
      <c r="G429" s="318"/>
      <c r="H429" s="318"/>
      <c r="I429" s="318"/>
      <c r="J429" s="318"/>
      <c r="K429" s="318"/>
      <c r="L429" s="318"/>
      <c r="M429" s="318"/>
      <c r="N429" s="318"/>
      <c r="O429" s="318"/>
      <c r="P429" s="318"/>
      <c r="Q429" s="318"/>
      <c r="R429" s="318"/>
      <c r="S429" s="318"/>
      <c r="T429" s="318"/>
      <c r="U429" s="318"/>
      <c r="V429" s="318"/>
      <c r="W429" s="318"/>
      <c r="X429" s="318"/>
      <c r="Y429" s="318"/>
      <c r="Z429" s="318"/>
      <c r="AA429" s="318"/>
      <c r="AB429" s="318"/>
      <c r="AC429" s="318"/>
      <c r="AD429" s="318"/>
      <c r="AE429" s="318"/>
      <c r="AF429" s="318"/>
      <c r="AG429" s="318"/>
      <c r="AH429" s="318"/>
      <c r="AI429" s="318"/>
      <c r="AJ429" s="318"/>
      <c r="AK429" s="318"/>
      <c r="AL429" s="318"/>
      <c r="AM429" s="318"/>
      <c r="AN429" s="318"/>
      <c r="AO429" s="318"/>
      <c r="AP429" s="318"/>
    </row>
    <row r="430" spans="3:42" ht="15">
      <c r="C430" s="352"/>
      <c r="D430" s="318"/>
      <c r="E430" s="318"/>
      <c r="F430" s="318"/>
      <c r="G430" s="318"/>
      <c r="H430" s="318"/>
      <c r="I430" s="318"/>
      <c r="J430" s="318"/>
      <c r="K430" s="318"/>
      <c r="L430" s="318"/>
      <c r="M430" s="318"/>
      <c r="N430" s="318"/>
      <c r="O430" s="318"/>
      <c r="P430" s="318"/>
      <c r="Q430" s="318"/>
      <c r="R430" s="318"/>
      <c r="S430" s="318"/>
      <c r="T430" s="318"/>
      <c r="U430" s="318"/>
      <c r="V430" s="318"/>
      <c r="W430" s="318"/>
      <c r="X430" s="318"/>
      <c r="Y430" s="318"/>
      <c r="Z430" s="318"/>
      <c r="AA430" s="318"/>
      <c r="AB430" s="318"/>
      <c r="AC430" s="318"/>
      <c r="AD430" s="318"/>
      <c r="AE430" s="318"/>
      <c r="AF430" s="318"/>
      <c r="AG430" s="318"/>
      <c r="AH430" s="318"/>
      <c r="AI430" s="318"/>
      <c r="AJ430" s="318"/>
      <c r="AK430" s="318"/>
      <c r="AL430" s="318"/>
      <c r="AM430" s="318"/>
      <c r="AN430" s="318"/>
      <c r="AO430" s="318"/>
      <c r="AP430" s="318"/>
    </row>
    <row r="431" spans="3:42" ht="15">
      <c r="C431" s="352"/>
      <c r="D431" s="318"/>
      <c r="E431" s="318"/>
      <c r="F431" s="318"/>
      <c r="G431" s="318"/>
      <c r="H431" s="318"/>
      <c r="I431" s="318"/>
      <c r="J431" s="318"/>
      <c r="K431" s="318"/>
      <c r="L431" s="318"/>
      <c r="M431" s="318"/>
      <c r="N431" s="318"/>
      <c r="O431" s="318"/>
      <c r="P431" s="318"/>
      <c r="Q431" s="318"/>
      <c r="R431" s="318"/>
      <c r="S431" s="318"/>
      <c r="T431" s="318"/>
      <c r="U431" s="318"/>
      <c r="V431" s="318"/>
      <c r="W431" s="318"/>
      <c r="X431" s="318"/>
      <c r="Y431" s="318"/>
      <c r="Z431" s="318"/>
      <c r="AA431" s="318"/>
      <c r="AB431" s="318"/>
      <c r="AC431" s="318"/>
      <c r="AD431" s="318"/>
      <c r="AE431" s="318"/>
      <c r="AF431" s="318"/>
      <c r="AG431" s="318"/>
      <c r="AH431" s="318"/>
      <c r="AI431" s="318"/>
      <c r="AJ431" s="318"/>
      <c r="AK431" s="318"/>
      <c r="AL431" s="318"/>
      <c r="AM431" s="318"/>
      <c r="AN431" s="318"/>
      <c r="AO431" s="318"/>
      <c r="AP431" s="318"/>
    </row>
    <row r="432" spans="3:42" ht="15">
      <c r="C432" s="352"/>
      <c r="D432" s="318"/>
      <c r="E432" s="318"/>
      <c r="F432" s="318"/>
      <c r="G432" s="318"/>
      <c r="H432" s="318"/>
      <c r="I432" s="318"/>
      <c r="J432" s="318"/>
      <c r="K432" s="318"/>
      <c r="L432" s="318"/>
      <c r="M432" s="318"/>
      <c r="N432" s="318"/>
      <c r="O432" s="318"/>
      <c r="P432" s="318"/>
      <c r="Q432" s="318"/>
      <c r="R432" s="318"/>
      <c r="S432" s="318"/>
      <c r="T432" s="318"/>
      <c r="U432" s="318"/>
      <c r="V432" s="318"/>
      <c r="W432" s="318"/>
      <c r="X432" s="318"/>
      <c r="Y432" s="318"/>
      <c r="Z432" s="318"/>
      <c r="AA432" s="318"/>
      <c r="AB432" s="318"/>
      <c r="AC432" s="318"/>
      <c r="AD432" s="318"/>
      <c r="AE432" s="318"/>
      <c r="AF432" s="318"/>
      <c r="AG432" s="318"/>
      <c r="AH432" s="318"/>
      <c r="AI432" s="318"/>
      <c r="AJ432" s="318"/>
      <c r="AK432" s="318"/>
      <c r="AL432" s="318"/>
      <c r="AM432" s="318"/>
      <c r="AN432" s="318"/>
      <c r="AO432" s="318"/>
      <c r="AP432" s="318"/>
    </row>
    <row r="433" spans="3:42" ht="15">
      <c r="C433" s="352"/>
      <c r="D433" s="318"/>
      <c r="E433" s="318"/>
      <c r="F433" s="318"/>
      <c r="G433" s="318"/>
      <c r="H433" s="318"/>
      <c r="I433" s="318"/>
      <c r="J433" s="318"/>
      <c r="K433" s="318"/>
      <c r="L433" s="318"/>
      <c r="M433" s="318"/>
      <c r="N433" s="318"/>
      <c r="O433" s="318"/>
      <c r="P433" s="318"/>
      <c r="Q433" s="318"/>
      <c r="R433" s="318"/>
      <c r="S433" s="318"/>
      <c r="T433" s="318"/>
      <c r="U433" s="318"/>
      <c r="V433" s="318"/>
      <c r="W433" s="318"/>
      <c r="X433" s="318"/>
      <c r="Y433" s="318"/>
      <c r="Z433" s="318"/>
      <c r="AA433" s="318"/>
      <c r="AB433" s="318"/>
      <c r="AC433" s="318"/>
      <c r="AD433" s="318"/>
      <c r="AE433" s="318"/>
      <c r="AF433" s="318"/>
      <c r="AG433" s="318"/>
      <c r="AH433" s="318"/>
      <c r="AI433" s="318"/>
      <c r="AJ433" s="318"/>
      <c r="AK433" s="318"/>
      <c r="AL433" s="318"/>
      <c r="AM433" s="318"/>
      <c r="AN433" s="318"/>
      <c r="AO433" s="318"/>
      <c r="AP433" s="318"/>
    </row>
    <row r="434" spans="3:42" ht="15">
      <c r="C434" s="352"/>
      <c r="D434" s="318"/>
      <c r="E434" s="318"/>
      <c r="F434" s="318"/>
      <c r="G434" s="318"/>
      <c r="H434" s="318"/>
      <c r="I434" s="318"/>
      <c r="J434" s="318"/>
      <c r="K434" s="318"/>
      <c r="L434" s="318"/>
      <c r="M434" s="318"/>
      <c r="N434" s="318"/>
      <c r="O434" s="318"/>
      <c r="P434" s="318"/>
      <c r="Q434" s="318"/>
      <c r="R434" s="318"/>
      <c r="S434" s="318"/>
      <c r="T434" s="318"/>
      <c r="U434" s="318"/>
      <c r="V434" s="318"/>
      <c r="W434" s="318"/>
      <c r="X434" s="318"/>
      <c r="Y434" s="318"/>
      <c r="Z434" s="318"/>
      <c r="AA434" s="318"/>
      <c r="AB434" s="318"/>
      <c r="AC434" s="318"/>
      <c r="AD434" s="318"/>
      <c r="AE434" s="318"/>
      <c r="AF434" s="318"/>
      <c r="AG434" s="318"/>
      <c r="AH434" s="318"/>
      <c r="AI434" s="318"/>
      <c r="AJ434" s="318"/>
      <c r="AK434" s="318"/>
      <c r="AL434" s="318"/>
      <c r="AM434" s="318"/>
      <c r="AN434" s="318"/>
      <c r="AO434" s="318"/>
      <c r="AP434" s="318"/>
    </row>
    <row r="435" spans="3:42" ht="15">
      <c r="C435" s="352"/>
      <c r="D435" s="318"/>
      <c r="E435" s="318"/>
      <c r="F435" s="318"/>
      <c r="G435" s="318"/>
      <c r="H435" s="318"/>
      <c r="I435" s="318"/>
      <c r="J435" s="318"/>
      <c r="K435" s="318"/>
      <c r="L435" s="318"/>
      <c r="M435" s="318"/>
      <c r="N435" s="318"/>
      <c r="O435" s="318"/>
      <c r="P435" s="318"/>
      <c r="Q435" s="318"/>
      <c r="R435" s="318"/>
      <c r="S435" s="318"/>
      <c r="T435" s="318"/>
      <c r="U435" s="318"/>
      <c r="V435" s="318"/>
      <c r="W435" s="318"/>
      <c r="X435" s="318"/>
      <c r="Y435" s="318"/>
      <c r="Z435" s="318"/>
      <c r="AA435" s="318"/>
      <c r="AB435" s="318"/>
      <c r="AC435" s="318"/>
      <c r="AD435" s="318"/>
      <c r="AE435" s="318"/>
      <c r="AF435" s="318"/>
      <c r="AG435" s="318"/>
      <c r="AH435" s="318"/>
      <c r="AI435" s="318"/>
      <c r="AJ435" s="318"/>
      <c r="AK435" s="318"/>
      <c r="AL435" s="318"/>
      <c r="AM435" s="318"/>
      <c r="AN435" s="318"/>
      <c r="AO435" s="318"/>
      <c r="AP435" s="318"/>
    </row>
    <row r="436" spans="3:42" ht="15">
      <c r="C436" s="352"/>
      <c r="D436" s="318"/>
      <c r="E436" s="318"/>
      <c r="F436" s="318"/>
      <c r="G436" s="318"/>
      <c r="H436" s="318"/>
      <c r="I436" s="318"/>
      <c r="J436" s="318"/>
      <c r="K436" s="318"/>
      <c r="L436" s="318"/>
      <c r="M436" s="318"/>
      <c r="N436" s="318"/>
      <c r="O436" s="318"/>
      <c r="P436" s="318"/>
      <c r="Q436" s="318"/>
      <c r="R436" s="318"/>
      <c r="S436" s="318"/>
      <c r="T436" s="318"/>
      <c r="U436" s="318"/>
      <c r="V436" s="318"/>
      <c r="W436" s="318"/>
      <c r="X436" s="318"/>
      <c r="Y436" s="318"/>
      <c r="Z436" s="318"/>
      <c r="AA436" s="318"/>
      <c r="AB436" s="318"/>
      <c r="AC436" s="318"/>
      <c r="AD436" s="318"/>
      <c r="AE436" s="318"/>
      <c r="AF436" s="318"/>
      <c r="AG436" s="318"/>
      <c r="AH436" s="318"/>
      <c r="AI436" s="318"/>
      <c r="AJ436" s="318"/>
      <c r="AK436" s="318"/>
      <c r="AL436" s="318"/>
      <c r="AM436" s="318"/>
      <c r="AN436" s="318"/>
      <c r="AO436" s="318"/>
      <c r="AP436" s="318"/>
    </row>
    <row r="437" spans="3:42" ht="15">
      <c r="C437" s="352"/>
      <c r="D437" s="318"/>
      <c r="E437" s="318"/>
      <c r="F437" s="318"/>
      <c r="G437" s="318"/>
      <c r="H437" s="318"/>
      <c r="I437" s="318"/>
      <c r="J437" s="318"/>
      <c r="K437" s="318"/>
      <c r="L437" s="318"/>
      <c r="M437" s="318"/>
      <c r="N437" s="318"/>
      <c r="O437" s="318"/>
      <c r="P437" s="318"/>
      <c r="Q437" s="318"/>
      <c r="R437" s="318"/>
      <c r="S437" s="318"/>
      <c r="T437" s="318"/>
      <c r="U437" s="318"/>
      <c r="V437" s="318"/>
      <c r="W437" s="318"/>
      <c r="X437" s="318"/>
      <c r="Y437" s="318"/>
      <c r="Z437" s="318"/>
      <c r="AA437" s="318"/>
      <c r="AB437" s="318"/>
      <c r="AC437" s="318"/>
      <c r="AD437" s="318"/>
      <c r="AE437" s="318"/>
      <c r="AF437" s="318"/>
      <c r="AG437" s="318"/>
      <c r="AH437" s="318"/>
      <c r="AI437" s="318"/>
      <c r="AJ437" s="318"/>
      <c r="AK437" s="318"/>
      <c r="AL437" s="318"/>
      <c r="AM437" s="318"/>
      <c r="AN437" s="318"/>
      <c r="AO437" s="318"/>
      <c r="AP437" s="318"/>
    </row>
    <row r="438" spans="3:42" ht="15">
      <c r="C438" s="352"/>
      <c r="D438" s="318"/>
      <c r="E438" s="318"/>
      <c r="F438" s="318"/>
      <c r="G438" s="318"/>
      <c r="H438" s="318"/>
      <c r="I438" s="318"/>
      <c r="J438" s="318"/>
      <c r="K438" s="318"/>
      <c r="L438" s="318"/>
      <c r="M438" s="318"/>
      <c r="N438" s="318"/>
      <c r="O438" s="318"/>
      <c r="P438" s="318"/>
      <c r="Q438" s="318"/>
      <c r="R438" s="318"/>
      <c r="S438" s="318"/>
      <c r="T438" s="318"/>
      <c r="U438" s="318"/>
      <c r="V438" s="318"/>
      <c r="W438" s="318"/>
      <c r="X438" s="318"/>
      <c r="Y438" s="318"/>
      <c r="Z438" s="318"/>
      <c r="AA438" s="318"/>
      <c r="AB438" s="318"/>
      <c r="AC438" s="318"/>
      <c r="AD438" s="318"/>
      <c r="AE438" s="318"/>
      <c r="AF438" s="318"/>
      <c r="AG438" s="318"/>
      <c r="AH438" s="318"/>
      <c r="AI438" s="318"/>
      <c r="AJ438" s="318"/>
      <c r="AK438" s="318"/>
      <c r="AL438" s="318"/>
      <c r="AM438" s="318"/>
      <c r="AN438" s="318"/>
      <c r="AO438" s="318"/>
      <c r="AP438" s="318"/>
    </row>
    <row r="439" spans="3:42" ht="15">
      <c r="C439" s="352"/>
      <c r="D439" s="318"/>
      <c r="E439" s="318"/>
      <c r="F439" s="318"/>
      <c r="G439" s="318"/>
      <c r="H439" s="318"/>
      <c r="I439" s="318"/>
      <c r="J439" s="318"/>
      <c r="K439" s="318"/>
      <c r="L439" s="318"/>
      <c r="M439" s="318"/>
      <c r="N439" s="318"/>
      <c r="O439" s="318"/>
      <c r="P439" s="318"/>
      <c r="Q439" s="318"/>
      <c r="R439" s="318"/>
      <c r="S439" s="318"/>
      <c r="T439" s="318"/>
      <c r="U439" s="318"/>
      <c r="V439" s="318"/>
      <c r="W439" s="318"/>
      <c r="X439" s="318"/>
      <c r="Y439" s="318"/>
      <c r="Z439" s="318"/>
      <c r="AA439" s="318"/>
      <c r="AB439" s="318"/>
      <c r="AC439" s="318"/>
      <c r="AD439" s="318"/>
      <c r="AE439" s="318"/>
      <c r="AF439" s="318"/>
      <c r="AG439" s="318"/>
      <c r="AH439" s="318"/>
      <c r="AI439" s="318"/>
      <c r="AJ439" s="318"/>
      <c r="AK439" s="318"/>
      <c r="AL439" s="318"/>
      <c r="AM439" s="318"/>
      <c r="AN439" s="318"/>
      <c r="AO439" s="318"/>
      <c r="AP439" s="318"/>
    </row>
    <row r="440" spans="3:42" ht="15">
      <c r="C440" s="352"/>
      <c r="D440" s="318"/>
      <c r="E440" s="318"/>
      <c r="F440" s="318"/>
      <c r="G440" s="318"/>
      <c r="H440" s="318"/>
      <c r="I440" s="318"/>
      <c r="J440" s="318"/>
      <c r="K440" s="318"/>
      <c r="L440" s="318"/>
      <c r="M440" s="318"/>
      <c r="N440" s="318"/>
      <c r="O440" s="318"/>
      <c r="P440" s="318"/>
      <c r="Q440" s="318"/>
      <c r="R440" s="318"/>
      <c r="S440" s="318"/>
      <c r="T440" s="318"/>
      <c r="U440" s="318"/>
      <c r="V440" s="318"/>
      <c r="W440" s="318"/>
      <c r="X440" s="318"/>
      <c r="Y440" s="318"/>
      <c r="Z440" s="318"/>
      <c r="AA440" s="318"/>
      <c r="AB440" s="318"/>
      <c r="AC440" s="318"/>
      <c r="AD440" s="318"/>
      <c r="AE440" s="318"/>
      <c r="AF440" s="318"/>
      <c r="AG440" s="318"/>
      <c r="AH440" s="318"/>
      <c r="AI440" s="318"/>
      <c r="AJ440" s="318"/>
      <c r="AK440" s="318"/>
      <c r="AL440" s="318"/>
      <c r="AM440" s="318"/>
      <c r="AN440" s="318"/>
      <c r="AO440" s="318"/>
      <c r="AP440" s="318"/>
    </row>
    <row r="441" spans="3:42" ht="15">
      <c r="C441" s="352"/>
      <c r="D441" s="318"/>
      <c r="E441" s="318"/>
      <c r="F441" s="318"/>
      <c r="G441" s="318"/>
      <c r="H441" s="318"/>
      <c r="I441" s="318"/>
      <c r="J441" s="318"/>
      <c r="K441" s="318"/>
      <c r="L441" s="318"/>
      <c r="M441" s="318"/>
      <c r="N441" s="318"/>
      <c r="O441" s="318"/>
      <c r="P441" s="318"/>
      <c r="Q441" s="318"/>
      <c r="R441" s="318"/>
      <c r="S441" s="318"/>
      <c r="T441" s="318"/>
      <c r="U441" s="318"/>
      <c r="V441" s="318"/>
      <c r="W441" s="318"/>
      <c r="X441" s="318"/>
      <c r="Y441" s="318"/>
      <c r="Z441" s="318"/>
      <c r="AA441" s="318"/>
      <c r="AB441" s="318"/>
      <c r="AC441" s="318"/>
      <c r="AD441" s="318"/>
      <c r="AE441" s="318"/>
      <c r="AF441" s="318"/>
      <c r="AG441" s="318"/>
      <c r="AH441" s="318"/>
      <c r="AI441" s="318"/>
      <c r="AJ441" s="318"/>
      <c r="AK441" s="318"/>
      <c r="AL441" s="318"/>
      <c r="AM441" s="318"/>
      <c r="AN441" s="318"/>
      <c r="AO441" s="318"/>
      <c r="AP441" s="318"/>
    </row>
    <row r="442" spans="3:42" ht="15">
      <c r="C442" s="352"/>
      <c r="D442" s="318"/>
      <c r="E442" s="318"/>
      <c r="F442" s="318"/>
      <c r="G442" s="318"/>
      <c r="H442" s="318"/>
      <c r="I442" s="318"/>
      <c r="J442" s="318"/>
      <c r="K442" s="318"/>
      <c r="L442" s="318"/>
      <c r="M442" s="318"/>
      <c r="N442" s="318"/>
      <c r="O442" s="318"/>
      <c r="P442" s="318"/>
      <c r="Q442" s="318"/>
      <c r="R442" s="318"/>
      <c r="S442" s="318"/>
      <c r="T442" s="318"/>
      <c r="U442" s="318"/>
      <c r="V442" s="318"/>
      <c r="W442" s="318"/>
      <c r="X442" s="318"/>
      <c r="Y442" s="318"/>
      <c r="Z442" s="318"/>
      <c r="AA442" s="318"/>
      <c r="AB442" s="318"/>
      <c r="AC442" s="318"/>
      <c r="AD442" s="318"/>
      <c r="AE442" s="318"/>
      <c r="AF442" s="318"/>
      <c r="AG442" s="318"/>
      <c r="AH442" s="318"/>
      <c r="AI442" s="318"/>
      <c r="AJ442" s="318"/>
      <c r="AK442" s="318"/>
      <c r="AL442" s="318"/>
      <c r="AM442" s="318"/>
      <c r="AN442" s="318"/>
      <c r="AO442" s="318"/>
      <c r="AP442" s="318"/>
    </row>
    <row r="443" spans="3:42" ht="15">
      <c r="C443" s="352"/>
      <c r="D443" s="318"/>
      <c r="E443" s="318"/>
      <c r="F443" s="318"/>
      <c r="G443" s="318"/>
      <c r="H443" s="318"/>
      <c r="I443" s="318"/>
      <c r="J443" s="318"/>
      <c r="K443" s="318"/>
      <c r="L443" s="318"/>
      <c r="M443" s="318"/>
      <c r="N443" s="318"/>
      <c r="O443" s="318"/>
      <c r="P443" s="318"/>
      <c r="Q443" s="318"/>
      <c r="R443" s="318"/>
      <c r="S443" s="318"/>
      <c r="T443" s="318"/>
      <c r="U443" s="318"/>
      <c r="V443" s="318"/>
      <c r="W443" s="318"/>
      <c r="X443" s="318"/>
      <c r="Y443" s="318"/>
      <c r="Z443" s="318"/>
      <c r="AA443" s="318"/>
      <c r="AB443" s="318"/>
      <c r="AC443" s="318"/>
      <c r="AD443" s="318"/>
      <c r="AE443" s="318"/>
      <c r="AF443" s="318"/>
      <c r="AG443" s="318"/>
      <c r="AH443" s="318"/>
      <c r="AI443" s="318"/>
      <c r="AJ443" s="318"/>
      <c r="AK443" s="318"/>
      <c r="AL443" s="318"/>
      <c r="AM443" s="318"/>
      <c r="AN443" s="318"/>
      <c r="AO443" s="318"/>
      <c r="AP443" s="318"/>
    </row>
    <row r="444" spans="3:42" ht="15">
      <c r="C444" s="352"/>
      <c r="D444" s="318"/>
      <c r="E444" s="318"/>
      <c r="F444" s="318"/>
      <c r="G444" s="318"/>
      <c r="H444" s="318"/>
      <c r="I444" s="318"/>
      <c r="J444" s="318"/>
      <c r="K444" s="318"/>
      <c r="L444" s="318"/>
      <c r="M444" s="318"/>
      <c r="N444" s="318"/>
      <c r="O444" s="318"/>
      <c r="P444" s="318"/>
      <c r="Q444" s="318"/>
      <c r="R444" s="318"/>
      <c r="S444" s="318"/>
      <c r="T444" s="318"/>
      <c r="U444" s="318"/>
      <c r="V444" s="318"/>
      <c r="W444" s="318"/>
      <c r="X444" s="318"/>
      <c r="Y444" s="318"/>
      <c r="Z444" s="318"/>
      <c r="AA444" s="318"/>
      <c r="AB444" s="318"/>
      <c r="AC444" s="318"/>
      <c r="AD444" s="318"/>
      <c r="AE444" s="318"/>
      <c r="AF444" s="318"/>
      <c r="AG444" s="318"/>
      <c r="AH444" s="318"/>
      <c r="AI444" s="318"/>
      <c r="AJ444" s="318"/>
      <c r="AK444" s="318"/>
      <c r="AL444" s="318"/>
      <c r="AM444" s="318"/>
      <c r="AN444" s="318"/>
      <c r="AO444" s="318"/>
      <c r="AP444" s="318"/>
    </row>
    <row r="445" spans="3:42" ht="15">
      <c r="C445" s="352"/>
      <c r="D445" s="318"/>
      <c r="E445" s="318"/>
      <c r="F445" s="318"/>
      <c r="G445" s="318"/>
      <c r="H445" s="318"/>
      <c r="I445" s="318"/>
      <c r="J445" s="318"/>
      <c r="K445" s="318"/>
      <c r="L445" s="318"/>
      <c r="M445" s="318"/>
      <c r="N445" s="318"/>
      <c r="O445" s="318"/>
      <c r="P445" s="318"/>
      <c r="Q445" s="318"/>
      <c r="R445" s="318"/>
      <c r="S445" s="318"/>
      <c r="T445" s="318"/>
      <c r="U445" s="318"/>
      <c r="V445" s="318"/>
      <c r="W445" s="318"/>
      <c r="X445" s="318"/>
      <c r="Y445" s="318"/>
      <c r="Z445" s="318"/>
      <c r="AA445" s="318"/>
      <c r="AB445" s="318"/>
      <c r="AC445" s="318"/>
      <c r="AD445" s="318"/>
      <c r="AE445" s="318"/>
      <c r="AF445" s="318"/>
      <c r="AG445" s="318"/>
      <c r="AH445" s="318"/>
      <c r="AI445" s="318"/>
      <c r="AJ445" s="318"/>
      <c r="AK445" s="318"/>
      <c r="AL445" s="318"/>
      <c r="AM445" s="318"/>
      <c r="AN445" s="318"/>
      <c r="AO445" s="318"/>
      <c r="AP445" s="318"/>
    </row>
    <row r="446" spans="3:42" ht="15">
      <c r="C446" s="352"/>
      <c r="D446" s="318"/>
      <c r="E446" s="318"/>
      <c r="F446" s="318"/>
      <c r="G446" s="318"/>
      <c r="H446" s="318"/>
      <c r="I446" s="318"/>
      <c r="J446" s="318"/>
      <c r="K446" s="318"/>
      <c r="L446" s="318"/>
      <c r="M446" s="318"/>
      <c r="N446" s="318"/>
      <c r="O446" s="318"/>
      <c r="P446" s="318"/>
      <c r="Q446" s="318"/>
      <c r="R446" s="318"/>
      <c r="S446" s="318"/>
      <c r="T446" s="318"/>
      <c r="U446" s="318"/>
      <c r="V446" s="318"/>
      <c r="W446" s="318"/>
      <c r="X446" s="318"/>
      <c r="Y446" s="318"/>
      <c r="Z446" s="318"/>
      <c r="AA446" s="318"/>
      <c r="AB446" s="318"/>
      <c r="AC446" s="318"/>
      <c r="AD446" s="318"/>
      <c r="AE446" s="318"/>
      <c r="AF446" s="318"/>
      <c r="AG446" s="318"/>
      <c r="AH446" s="318"/>
      <c r="AI446" s="318"/>
      <c r="AJ446" s="318"/>
      <c r="AK446" s="318"/>
      <c r="AL446" s="318"/>
      <c r="AM446" s="318"/>
      <c r="AN446" s="318"/>
      <c r="AO446" s="318"/>
      <c r="AP446" s="318"/>
    </row>
    <row r="447" spans="3:42" ht="15">
      <c r="C447" s="352"/>
      <c r="D447" s="318"/>
      <c r="E447" s="318"/>
      <c r="F447" s="318"/>
      <c r="G447" s="318"/>
      <c r="H447" s="318"/>
      <c r="I447" s="318"/>
      <c r="J447" s="318"/>
      <c r="K447" s="318"/>
      <c r="L447" s="318"/>
      <c r="M447" s="318"/>
      <c r="N447" s="318"/>
      <c r="O447" s="318"/>
      <c r="P447" s="318"/>
      <c r="Q447" s="318"/>
      <c r="R447" s="318"/>
      <c r="S447" s="318"/>
      <c r="T447" s="318"/>
      <c r="U447" s="318"/>
      <c r="V447" s="318"/>
      <c r="W447" s="318"/>
      <c r="X447" s="318"/>
      <c r="Y447" s="318"/>
      <c r="Z447" s="318"/>
      <c r="AA447" s="318"/>
      <c r="AB447" s="318"/>
      <c r="AC447" s="318"/>
      <c r="AD447" s="318"/>
      <c r="AE447" s="318"/>
      <c r="AF447" s="318"/>
      <c r="AG447" s="318"/>
      <c r="AH447" s="318"/>
      <c r="AI447" s="318"/>
      <c r="AJ447" s="318"/>
      <c r="AK447" s="318"/>
      <c r="AL447" s="318"/>
      <c r="AM447" s="318"/>
      <c r="AN447" s="318"/>
      <c r="AO447" s="318"/>
      <c r="AP447" s="318"/>
    </row>
    <row r="448" spans="3:42" ht="15">
      <c r="C448" s="352"/>
      <c r="D448" s="318"/>
      <c r="E448" s="318"/>
      <c r="F448" s="318"/>
      <c r="G448" s="318"/>
      <c r="H448" s="318"/>
      <c r="I448" s="318"/>
      <c r="J448" s="318"/>
      <c r="K448" s="318"/>
      <c r="L448" s="318"/>
      <c r="M448" s="318"/>
      <c r="N448" s="318"/>
      <c r="O448" s="318"/>
      <c r="P448" s="318"/>
      <c r="Q448" s="318"/>
      <c r="R448" s="318"/>
      <c r="S448" s="318"/>
      <c r="T448" s="318"/>
      <c r="U448" s="318"/>
      <c r="V448" s="318"/>
      <c r="W448" s="318"/>
      <c r="X448" s="318"/>
      <c r="Y448" s="318"/>
      <c r="Z448" s="318"/>
      <c r="AA448" s="318"/>
      <c r="AB448" s="318"/>
      <c r="AC448" s="318"/>
      <c r="AD448" s="318"/>
      <c r="AE448" s="318"/>
      <c r="AF448" s="318"/>
      <c r="AG448" s="318"/>
      <c r="AH448" s="318"/>
      <c r="AI448" s="318"/>
      <c r="AJ448" s="318"/>
      <c r="AK448" s="318"/>
      <c r="AL448" s="318"/>
      <c r="AM448" s="318"/>
      <c r="AN448" s="318"/>
      <c r="AO448" s="318"/>
      <c r="AP448" s="318"/>
    </row>
    <row r="449" spans="3:42" ht="15">
      <c r="C449" s="352"/>
      <c r="D449" s="318"/>
      <c r="E449" s="318"/>
      <c r="F449" s="318"/>
      <c r="G449" s="318"/>
      <c r="H449" s="318"/>
      <c r="I449" s="318"/>
      <c r="J449" s="318"/>
      <c r="K449" s="318"/>
      <c r="L449" s="318"/>
      <c r="M449" s="318"/>
      <c r="N449" s="318"/>
      <c r="O449" s="318"/>
      <c r="P449" s="318"/>
      <c r="Q449" s="318"/>
      <c r="R449" s="318"/>
      <c r="S449" s="318"/>
      <c r="T449" s="318"/>
      <c r="U449" s="318"/>
      <c r="V449" s="318"/>
      <c r="W449" s="318"/>
      <c r="X449" s="318"/>
      <c r="Y449" s="318"/>
      <c r="Z449" s="318"/>
      <c r="AA449" s="318"/>
      <c r="AB449" s="318"/>
      <c r="AC449" s="318"/>
      <c r="AD449" s="318"/>
      <c r="AE449" s="318"/>
      <c r="AF449" s="318"/>
      <c r="AG449" s="318"/>
      <c r="AH449" s="318"/>
      <c r="AI449" s="318"/>
      <c r="AJ449" s="318"/>
      <c r="AK449" s="318"/>
      <c r="AL449" s="318"/>
      <c r="AM449" s="318"/>
      <c r="AN449" s="318"/>
      <c r="AO449" s="318"/>
      <c r="AP449" s="318"/>
    </row>
    <row r="450" spans="3:42" ht="15">
      <c r="C450" s="352"/>
      <c r="D450" s="318"/>
      <c r="E450" s="318"/>
      <c r="F450" s="318"/>
      <c r="G450" s="318"/>
      <c r="H450" s="318"/>
      <c r="I450" s="318"/>
      <c r="J450" s="318"/>
      <c r="K450" s="318"/>
      <c r="L450" s="318"/>
      <c r="M450" s="318"/>
      <c r="N450" s="318"/>
      <c r="O450" s="318"/>
      <c r="P450" s="318"/>
      <c r="Q450" s="318"/>
      <c r="R450" s="318"/>
      <c r="S450" s="318"/>
      <c r="T450" s="318"/>
      <c r="U450" s="318"/>
      <c r="V450" s="318"/>
      <c r="W450" s="318"/>
      <c r="X450" s="318"/>
      <c r="Y450" s="318"/>
      <c r="Z450" s="318"/>
      <c r="AA450" s="318"/>
      <c r="AB450" s="318"/>
      <c r="AC450" s="318"/>
      <c r="AD450" s="318"/>
      <c r="AE450" s="318"/>
      <c r="AF450" s="318"/>
      <c r="AG450" s="318"/>
      <c r="AH450" s="318"/>
      <c r="AI450" s="318"/>
      <c r="AJ450" s="318"/>
      <c r="AK450" s="318"/>
      <c r="AL450" s="318"/>
      <c r="AM450" s="318"/>
      <c r="AN450" s="318"/>
      <c r="AO450" s="318"/>
      <c r="AP450" s="318"/>
    </row>
    <row r="451" spans="3:42" ht="15">
      <c r="C451" s="352"/>
      <c r="D451" s="318"/>
      <c r="E451" s="318"/>
      <c r="F451" s="318"/>
      <c r="G451" s="318"/>
      <c r="H451" s="318"/>
      <c r="I451" s="318"/>
      <c r="J451" s="318"/>
      <c r="K451" s="318"/>
      <c r="L451" s="318"/>
      <c r="M451" s="318"/>
      <c r="N451" s="318"/>
      <c r="O451" s="318"/>
      <c r="P451" s="318"/>
      <c r="Q451" s="318"/>
      <c r="R451" s="318"/>
      <c r="S451" s="318"/>
      <c r="T451" s="318"/>
      <c r="U451" s="318"/>
      <c r="V451" s="318"/>
      <c r="W451" s="318"/>
      <c r="X451" s="318"/>
      <c r="Y451" s="318"/>
      <c r="Z451" s="318"/>
      <c r="AA451" s="318"/>
      <c r="AB451" s="318"/>
      <c r="AC451" s="318"/>
      <c r="AD451" s="318"/>
      <c r="AE451" s="318"/>
      <c r="AF451" s="318"/>
      <c r="AG451" s="318"/>
      <c r="AH451" s="318"/>
      <c r="AI451" s="318"/>
      <c r="AJ451" s="318"/>
      <c r="AK451" s="318"/>
      <c r="AL451" s="318"/>
      <c r="AM451" s="318"/>
      <c r="AN451" s="318"/>
      <c r="AO451" s="318"/>
      <c r="AP451" s="318"/>
    </row>
    <row r="452" spans="3:42" ht="15">
      <c r="C452" s="352"/>
      <c r="D452" s="318"/>
      <c r="E452" s="318"/>
      <c r="F452" s="318"/>
      <c r="G452" s="318"/>
      <c r="H452" s="318"/>
      <c r="I452" s="318"/>
      <c r="J452" s="318"/>
      <c r="K452" s="318"/>
      <c r="L452" s="318"/>
      <c r="M452" s="318"/>
      <c r="N452" s="318"/>
      <c r="O452" s="318"/>
      <c r="P452" s="318"/>
      <c r="Q452" s="318"/>
      <c r="R452" s="318"/>
      <c r="S452" s="318"/>
      <c r="T452" s="318"/>
      <c r="U452" s="318"/>
      <c r="V452" s="318"/>
      <c r="W452" s="318"/>
      <c r="X452" s="318"/>
      <c r="Y452" s="318"/>
      <c r="Z452" s="318"/>
      <c r="AA452" s="318"/>
      <c r="AB452" s="318"/>
      <c r="AC452" s="318"/>
      <c r="AD452" s="318"/>
      <c r="AE452" s="318"/>
      <c r="AF452" s="318"/>
      <c r="AG452" s="318"/>
      <c r="AH452" s="318"/>
      <c r="AI452" s="318"/>
      <c r="AJ452" s="318"/>
      <c r="AK452" s="318"/>
      <c r="AL452" s="318"/>
      <c r="AM452" s="318"/>
      <c r="AN452" s="318"/>
      <c r="AO452" s="318"/>
      <c r="AP452" s="318"/>
    </row>
    <row r="453" spans="3:42" ht="15">
      <c r="C453" s="352"/>
      <c r="D453" s="318"/>
      <c r="E453" s="318"/>
      <c r="F453" s="318"/>
      <c r="G453" s="318"/>
      <c r="H453" s="318"/>
      <c r="I453" s="318"/>
      <c r="J453" s="318"/>
      <c r="K453" s="318"/>
      <c r="L453" s="318"/>
      <c r="M453" s="318"/>
      <c r="N453" s="318"/>
      <c r="O453" s="318"/>
      <c r="P453" s="318"/>
      <c r="Q453" s="318"/>
      <c r="R453" s="318"/>
      <c r="S453" s="318"/>
      <c r="T453" s="318"/>
      <c r="U453" s="318"/>
      <c r="V453" s="318"/>
      <c r="W453" s="318"/>
      <c r="X453" s="318"/>
      <c r="Y453" s="318"/>
      <c r="Z453" s="318"/>
      <c r="AA453" s="318"/>
      <c r="AB453" s="318"/>
      <c r="AC453" s="318"/>
      <c r="AD453" s="318"/>
      <c r="AE453" s="318"/>
      <c r="AF453" s="318"/>
      <c r="AG453" s="318"/>
      <c r="AH453" s="318"/>
      <c r="AI453" s="318"/>
      <c r="AJ453" s="318"/>
      <c r="AK453" s="318"/>
      <c r="AL453" s="318"/>
      <c r="AM453" s="318"/>
      <c r="AN453" s="318"/>
      <c r="AO453" s="318"/>
      <c r="AP453" s="318"/>
    </row>
    <row r="454" spans="3:42" ht="15">
      <c r="C454" s="352"/>
      <c r="D454" s="318"/>
      <c r="E454" s="318"/>
      <c r="F454" s="318"/>
      <c r="G454" s="318"/>
      <c r="H454" s="318"/>
      <c r="I454" s="318"/>
      <c r="J454" s="318"/>
      <c r="K454" s="318"/>
      <c r="L454" s="318"/>
      <c r="M454" s="318"/>
      <c r="N454" s="318"/>
      <c r="O454" s="318"/>
      <c r="P454" s="318"/>
      <c r="Q454" s="318"/>
      <c r="R454" s="318"/>
      <c r="S454" s="318"/>
      <c r="T454" s="318"/>
      <c r="U454" s="318"/>
      <c r="V454" s="318"/>
      <c r="W454" s="318"/>
      <c r="X454" s="318"/>
      <c r="Y454" s="318"/>
      <c r="Z454" s="318"/>
      <c r="AA454" s="318"/>
      <c r="AB454" s="318"/>
      <c r="AC454" s="318"/>
      <c r="AD454" s="318"/>
      <c r="AE454" s="318"/>
      <c r="AF454" s="318"/>
      <c r="AG454" s="318"/>
      <c r="AH454" s="318"/>
      <c r="AI454" s="318"/>
      <c r="AJ454" s="318"/>
      <c r="AK454" s="318"/>
      <c r="AL454" s="318"/>
      <c r="AM454" s="318"/>
      <c r="AN454" s="318"/>
      <c r="AO454" s="318"/>
      <c r="AP454" s="318"/>
    </row>
    <row r="455" spans="3:42" ht="15">
      <c r="C455" s="352"/>
      <c r="D455" s="318"/>
      <c r="E455" s="318"/>
      <c r="F455" s="318"/>
      <c r="G455" s="318"/>
      <c r="H455" s="318"/>
      <c r="I455" s="318"/>
      <c r="J455" s="318"/>
      <c r="K455" s="318"/>
      <c r="L455" s="318"/>
      <c r="M455" s="318"/>
      <c r="N455" s="318"/>
      <c r="O455" s="318"/>
      <c r="P455" s="318"/>
      <c r="Q455" s="318"/>
      <c r="R455" s="318"/>
      <c r="S455" s="318"/>
      <c r="T455" s="318"/>
      <c r="U455" s="318"/>
      <c r="V455" s="318"/>
      <c r="W455" s="318"/>
      <c r="X455" s="318"/>
      <c r="Y455" s="318"/>
      <c r="Z455" s="318"/>
      <c r="AA455" s="318"/>
      <c r="AB455" s="318"/>
      <c r="AC455" s="318"/>
      <c r="AD455" s="318"/>
      <c r="AE455" s="318"/>
      <c r="AF455" s="318"/>
      <c r="AG455" s="318"/>
      <c r="AH455" s="318"/>
      <c r="AI455" s="318"/>
      <c r="AJ455" s="318"/>
      <c r="AK455" s="318"/>
      <c r="AL455" s="318"/>
      <c r="AM455" s="318"/>
      <c r="AN455" s="318"/>
      <c r="AO455" s="318"/>
      <c r="AP455" s="318"/>
    </row>
    <row r="456" spans="3:42" ht="15">
      <c r="C456" s="352"/>
      <c r="D456" s="318"/>
      <c r="E456" s="318"/>
      <c r="F456" s="318"/>
      <c r="G456" s="318"/>
      <c r="H456" s="318"/>
      <c r="I456" s="318"/>
      <c r="J456" s="318"/>
      <c r="K456" s="318"/>
      <c r="L456" s="318"/>
      <c r="M456" s="318"/>
      <c r="N456" s="318"/>
      <c r="O456" s="318"/>
      <c r="P456" s="318"/>
      <c r="Q456" s="318"/>
      <c r="R456" s="318"/>
      <c r="S456" s="318"/>
      <c r="T456" s="318"/>
      <c r="U456" s="318"/>
      <c r="V456" s="318"/>
      <c r="W456" s="318"/>
      <c r="X456" s="318"/>
      <c r="Y456" s="318"/>
      <c r="Z456" s="318"/>
      <c r="AA456" s="318"/>
      <c r="AB456" s="318"/>
      <c r="AC456" s="318"/>
      <c r="AD456" s="318"/>
      <c r="AE456" s="318"/>
      <c r="AF456" s="318"/>
      <c r="AG456" s="318"/>
      <c r="AH456" s="318"/>
      <c r="AI456" s="318"/>
      <c r="AJ456" s="318"/>
      <c r="AK456" s="318"/>
      <c r="AL456" s="318"/>
      <c r="AM456" s="318"/>
      <c r="AN456" s="318"/>
      <c r="AO456" s="318"/>
      <c r="AP456" s="318"/>
    </row>
    <row r="457" spans="3:42" ht="15">
      <c r="C457" s="352"/>
      <c r="D457" s="318"/>
      <c r="E457" s="318"/>
      <c r="F457" s="318"/>
      <c r="G457" s="318"/>
      <c r="H457" s="318"/>
      <c r="I457" s="318"/>
      <c r="J457" s="318"/>
      <c r="K457" s="318"/>
      <c r="L457" s="318"/>
      <c r="M457" s="318"/>
      <c r="N457" s="318"/>
      <c r="O457" s="318"/>
      <c r="P457" s="318"/>
      <c r="Q457" s="318"/>
      <c r="R457" s="318"/>
      <c r="S457" s="318"/>
      <c r="T457" s="318"/>
      <c r="U457" s="318"/>
      <c r="V457" s="318"/>
      <c r="W457" s="318"/>
      <c r="X457" s="318"/>
      <c r="Y457" s="318"/>
      <c r="Z457" s="318"/>
      <c r="AA457" s="318"/>
      <c r="AB457" s="318"/>
      <c r="AC457" s="318"/>
      <c r="AD457" s="318"/>
      <c r="AE457" s="318"/>
      <c r="AF457" s="318"/>
      <c r="AG457" s="318"/>
      <c r="AH457" s="318"/>
      <c r="AI457" s="318"/>
      <c r="AJ457" s="318"/>
      <c r="AK457" s="318"/>
      <c r="AL457" s="318"/>
      <c r="AM457" s="318"/>
      <c r="AN457" s="318"/>
      <c r="AO457" s="318"/>
      <c r="AP457" s="318"/>
    </row>
    <row r="458" spans="3:42" ht="15">
      <c r="C458" s="352"/>
      <c r="D458" s="318"/>
      <c r="E458" s="318"/>
      <c r="F458" s="318"/>
      <c r="G458" s="318"/>
      <c r="H458" s="318"/>
      <c r="I458" s="318"/>
      <c r="J458" s="318"/>
      <c r="K458" s="318"/>
      <c r="L458" s="318"/>
      <c r="M458" s="318"/>
      <c r="N458" s="318"/>
      <c r="O458" s="318"/>
      <c r="P458" s="318"/>
      <c r="Q458" s="318"/>
      <c r="R458" s="318"/>
      <c r="S458" s="318"/>
      <c r="T458" s="318"/>
      <c r="U458" s="318"/>
      <c r="V458" s="318"/>
      <c r="W458" s="318"/>
      <c r="X458" s="318"/>
      <c r="Y458" s="318"/>
      <c r="Z458" s="318"/>
      <c r="AA458" s="318"/>
      <c r="AB458" s="318"/>
      <c r="AC458" s="318"/>
      <c r="AD458" s="318"/>
      <c r="AE458" s="318"/>
      <c r="AF458" s="318"/>
      <c r="AG458" s="318"/>
      <c r="AH458" s="318"/>
      <c r="AI458" s="318"/>
      <c r="AJ458" s="318"/>
      <c r="AK458" s="318"/>
      <c r="AL458" s="318"/>
      <c r="AM458" s="318"/>
      <c r="AN458" s="318"/>
      <c r="AO458" s="318"/>
      <c r="AP458" s="318"/>
    </row>
    <row r="459" spans="3:42" ht="15">
      <c r="C459" s="352"/>
      <c r="D459" s="318"/>
      <c r="E459" s="318"/>
      <c r="F459" s="318"/>
      <c r="G459" s="318"/>
      <c r="H459" s="318"/>
      <c r="I459" s="318"/>
      <c r="J459" s="318"/>
      <c r="K459" s="318"/>
      <c r="L459" s="318"/>
      <c r="M459" s="318"/>
      <c r="N459" s="318"/>
      <c r="O459" s="318"/>
      <c r="P459" s="318"/>
      <c r="Q459" s="318"/>
      <c r="R459" s="318"/>
      <c r="S459" s="318"/>
      <c r="T459" s="318"/>
      <c r="U459" s="318"/>
      <c r="V459" s="318"/>
      <c r="W459" s="318"/>
      <c r="X459" s="318"/>
      <c r="Y459" s="318"/>
      <c r="Z459" s="318"/>
      <c r="AA459" s="318"/>
      <c r="AB459" s="318"/>
      <c r="AC459" s="318"/>
      <c r="AD459" s="318"/>
      <c r="AE459" s="318"/>
      <c r="AF459" s="318"/>
      <c r="AG459" s="318"/>
      <c r="AH459" s="318"/>
      <c r="AI459" s="318"/>
      <c r="AJ459" s="318"/>
      <c r="AK459" s="318"/>
      <c r="AL459" s="318"/>
      <c r="AM459" s="318"/>
      <c r="AN459" s="318"/>
      <c r="AO459" s="318"/>
      <c r="AP459" s="318"/>
    </row>
    <row r="460" spans="3:42" ht="15">
      <c r="C460" s="352"/>
      <c r="D460" s="318"/>
      <c r="E460" s="318"/>
      <c r="F460" s="318"/>
      <c r="G460" s="318"/>
      <c r="H460" s="318"/>
      <c r="I460" s="318"/>
      <c r="J460" s="318"/>
      <c r="K460" s="318"/>
      <c r="L460" s="318"/>
      <c r="M460" s="318"/>
      <c r="N460" s="318"/>
      <c r="O460" s="318"/>
      <c r="P460" s="318"/>
      <c r="Q460" s="318"/>
      <c r="R460" s="318"/>
      <c r="S460" s="318"/>
      <c r="T460" s="318"/>
      <c r="U460" s="318"/>
      <c r="V460" s="318"/>
      <c r="W460" s="318"/>
      <c r="X460" s="318"/>
      <c r="Y460" s="318"/>
      <c r="Z460" s="318"/>
      <c r="AA460" s="318"/>
      <c r="AB460" s="318"/>
      <c r="AC460" s="318"/>
      <c r="AD460" s="318"/>
      <c r="AE460" s="318"/>
      <c r="AF460" s="318"/>
      <c r="AG460" s="318"/>
      <c r="AH460" s="318"/>
      <c r="AI460" s="318"/>
      <c r="AJ460" s="318"/>
      <c r="AK460" s="318"/>
      <c r="AL460" s="318"/>
      <c r="AM460" s="318"/>
      <c r="AN460" s="318"/>
      <c r="AO460" s="318"/>
      <c r="AP460" s="318"/>
    </row>
    <row r="461" spans="3:42" ht="15">
      <c r="C461" s="352"/>
      <c r="D461" s="318"/>
      <c r="E461" s="318"/>
      <c r="F461" s="318"/>
      <c r="G461" s="318"/>
      <c r="H461" s="318"/>
      <c r="I461" s="318"/>
      <c r="J461" s="318"/>
      <c r="K461" s="318"/>
      <c r="L461" s="318"/>
      <c r="M461" s="318"/>
      <c r="N461" s="318"/>
      <c r="O461" s="318"/>
      <c r="P461" s="318"/>
      <c r="Q461" s="318"/>
      <c r="R461" s="318"/>
      <c r="S461" s="318"/>
      <c r="T461" s="318"/>
      <c r="U461" s="318"/>
      <c r="V461" s="318"/>
      <c r="W461" s="318"/>
      <c r="X461" s="318"/>
      <c r="Y461" s="318"/>
      <c r="Z461" s="318"/>
      <c r="AA461" s="318"/>
      <c r="AB461" s="318"/>
      <c r="AC461" s="318"/>
      <c r="AD461" s="318"/>
      <c r="AE461" s="318"/>
      <c r="AF461" s="318"/>
      <c r="AG461" s="318"/>
      <c r="AH461" s="318"/>
      <c r="AI461" s="318"/>
      <c r="AJ461" s="318"/>
      <c r="AK461" s="318"/>
      <c r="AL461" s="318"/>
      <c r="AM461" s="318"/>
      <c r="AN461" s="318"/>
      <c r="AO461" s="318"/>
      <c r="AP461" s="318"/>
    </row>
    <row r="462" spans="3:42" ht="15">
      <c r="C462" s="352"/>
      <c r="D462" s="318"/>
      <c r="E462" s="318"/>
      <c r="F462" s="318"/>
      <c r="G462" s="318"/>
      <c r="H462" s="318"/>
      <c r="I462" s="318"/>
      <c r="J462" s="318"/>
      <c r="K462" s="318"/>
      <c r="L462" s="318"/>
      <c r="M462" s="318"/>
      <c r="N462" s="318"/>
      <c r="O462" s="318"/>
      <c r="P462" s="318"/>
      <c r="Q462" s="318"/>
      <c r="R462" s="318"/>
      <c r="S462" s="318"/>
      <c r="T462" s="318"/>
      <c r="U462" s="318"/>
      <c r="V462" s="318"/>
      <c r="W462" s="318"/>
      <c r="X462" s="318"/>
      <c r="Y462" s="318"/>
      <c r="Z462" s="318"/>
      <c r="AA462" s="318"/>
      <c r="AB462" s="318"/>
      <c r="AC462" s="318"/>
      <c r="AD462" s="318"/>
      <c r="AE462" s="318"/>
      <c r="AF462" s="318"/>
      <c r="AG462" s="318"/>
      <c r="AH462" s="318"/>
      <c r="AI462" s="318"/>
      <c r="AJ462" s="318"/>
      <c r="AK462" s="318"/>
      <c r="AL462" s="318"/>
      <c r="AM462" s="318"/>
      <c r="AN462" s="318"/>
      <c r="AO462" s="318"/>
      <c r="AP462" s="318"/>
    </row>
    <row r="463" spans="3:42" ht="15">
      <c r="C463" s="352"/>
      <c r="D463" s="318"/>
      <c r="E463" s="318"/>
      <c r="F463" s="318"/>
      <c r="G463" s="318"/>
      <c r="H463" s="318"/>
      <c r="I463" s="318"/>
      <c r="J463" s="318"/>
      <c r="K463" s="318"/>
      <c r="L463" s="318"/>
      <c r="M463" s="318"/>
      <c r="N463" s="318"/>
      <c r="O463" s="318"/>
      <c r="P463" s="318"/>
      <c r="Q463" s="318"/>
      <c r="R463" s="318"/>
      <c r="S463" s="318"/>
      <c r="T463" s="318"/>
      <c r="U463" s="318"/>
      <c r="V463" s="318"/>
      <c r="W463" s="318"/>
      <c r="X463" s="318"/>
      <c r="Y463" s="318"/>
      <c r="Z463" s="318"/>
      <c r="AA463" s="318"/>
      <c r="AB463" s="318"/>
      <c r="AC463" s="318"/>
      <c r="AD463" s="318"/>
      <c r="AE463" s="318"/>
      <c r="AF463" s="318"/>
      <c r="AG463" s="318"/>
      <c r="AH463" s="318"/>
      <c r="AI463" s="318"/>
      <c r="AJ463" s="318"/>
      <c r="AK463" s="318"/>
      <c r="AL463" s="318"/>
      <c r="AM463" s="318"/>
      <c r="AN463" s="318"/>
      <c r="AO463" s="318"/>
      <c r="AP463" s="318"/>
    </row>
    <row r="464" spans="3:42" ht="15">
      <c r="C464" s="352"/>
      <c r="D464" s="318"/>
      <c r="E464" s="318"/>
      <c r="F464" s="318"/>
      <c r="G464" s="318"/>
      <c r="H464" s="318"/>
      <c r="I464" s="318"/>
      <c r="J464" s="318"/>
      <c r="K464" s="318"/>
      <c r="L464" s="318"/>
      <c r="M464" s="318"/>
      <c r="N464" s="318"/>
      <c r="O464" s="318"/>
      <c r="P464" s="318"/>
      <c r="Q464" s="318"/>
      <c r="R464" s="318"/>
      <c r="S464" s="318"/>
      <c r="T464" s="318"/>
      <c r="U464" s="318"/>
      <c r="V464" s="318"/>
      <c r="W464" s="318"/>
      <c r="X464" s="318"/>
      <c r="Y464" s="318"/>
      <c r="Z464" s="318"/>
      <c r="AA464" s="318"/>
      <c r="AB464" s="318"/>
      <c r="AC464" s="318"/>
      <c r="AD464" s="318"/>
      <c r="AE464" s="318"/>
      <c r="AF464" s="318"/>
      <c r="AG464" s="318"/>
      <c r="AH464" s="318"/>
      <c r="AI464" s="318"/>
      <c r="AJ464" s="318"/>
      <c r="AK464" s="318"/>
      <c r="AL464" s="318"/>
      <c r="AM464" s="318"/>
      <c r="AN464" s="318"/>
      <c r="AO464" s="318"/>
      <c r="AP464" s="318"/>
    </row>
    <row r="465" spans="3:42" ht="15">
      <c r="C465" s="352"/>
      <c r="D465" s="318"/>
      <c r="E465" s="318"/>
      <c r="F465" s="318"/>
      <c r="G465" s="318"/>
      <c r="H465" s="318"/>
      <c r="I465" s="318"/>
      <c r="J465" s="318"/>
      <c r="K465" s="318"/>
      <c r="L465" s="318"/>
      <c r="M465" s="318"/>
      <c r="N465" s="318"/>
      <c r="O465" s="318"/>
      <c r="P465" s="318"/>
      <c r="Q465" s="318"/>
      <c r="R465" s="318"/>
      <c r="S465" s="318"/>
      <c r="T465" s="318"/>
      <c r="U465" s="318"/>
      <c r="V465" s="318"/>
      <c r="W465" s="318"/>
      <c r="X465" s="318"/>
      <c r="Y465" s="318"/>
      <c r="Z465" s="318"/>
      <c r="AA465" s="318"/>
      <c r="AB465" s="318"/>
      <c r="AC465" s="318"/>
      <c r="AD465" s="318"/>
      <c r="AE465" s="318"/>
      <c r="AF465" s="318"/>
      <c r="AG465" s="318"/>
      <c r="AH465" s="318"/>
      <c r="AI465" s="318"/>
      <c r="AJ465" s="318"/>
      <c r="AK465" s="318"/>
      <c r="AL465" s="318"/>
      <c r="AM465" s="318"/>
      <c r="AN465" s="318"/>
      <c r="AO465" s="318"/>
      <c r="AP465" s="318"/>
    </row>
    <row r="466" spans="3:42" ht="15">
      <c r="C466" s="352"/>
      <c r="D466" s="318"/>
      <c r="E466" s="318"/>
      <c r="F466" s="318"/>
      <c r="G466" s="318"/>
      <c r="H466" s="318"/>
      <c r="I466" s="318"/>
      <c r="J466" s="318"/>
      <c r="K466" s="318"/>
      <c r="L466" s="318"/>
      <c r="M466" s="318"/>
      <c r="N466" s="318"/>
      <c r="O466" s="318"/>
      <c r="P466" s="318"/>
      <c r="Q466" s="318"/>
      <c r="R466" s="318"/>
      <c r="S466" s="318"/>
      <c r="T466" s="318"/>
      <c r="U466" s="318"/>
      <c r="V466" s="318"/>
      <c r="W466" s="318"/>
      <c r="X466" s="318"/>
      <c r="Y466" s="318"/>
      <c r="Z466" s="318"/>
      <c r="AA466" s="318"/>
      <c r="AB466" s="318"/>
      <c r="AC466" s="318"/>
      <c r="AD466" s="318"/>
      <c r="AE466" s="318"/>
      <c r="AF466" s="318"/>
      <c r="AG466" s="318"/>
      <c r="AH466" s="318"/>
      <c r="AI466" s="318"/>
      <c r="AJ466" s="318"/>
      <c r="AK466" s="318"/>
      <c r="AL466" s="318"/>
      <c r="AM466" s="318"/>
      <c r="AN466" s="318"/>
      <c r="AO466" s="318"/>
      <c r="AP466" s="318"/>
    </row>
    <row r="467" spans="3:42" ht="15">
      <c r="C467" s="352"/>
      <c r="D467" s="318"/>
      <c r="E467" s="318"/>
      <c r="F467" s="318"/>
      <c r="G467" s="318"/>
      <c r="H467" s="318"/>
      <c r="I467" s="318"/>
      <c r="J467" s="318"/>
      <c r="K467" s="318"/>
      <c r="L467" s="318"/>
      <c r="M467" s="318"/>
      <c r="N467" s="318"/>
      <c r="O467" s="318"/>
      <c r="P467" s="318"/>
      <c r="Q467" s="318"/>
      <c r="R467" s="318"/>
      <c r="S467" s="318"/>
      <c r="T467" s="318"/>
      <c r="U467" s="318"/>
      <c r="V467" s="318"/>
      <c r="W467" s="318"/>
      <c r="X467" s="318"/>
      <c r="Y467" s="318"/>
      <c r="Z467" s="318"/>
      <c r="AA467" s="318"/>
      <c r="AB467" s="318"/>
      <c r="AC467" s="318"/>
      <c r="AD467" s="318"/>
      <c r="AE467" s="318"/>
      <c r="AF467" s="318"/>
      <c r="AG467" s="318"/>
      <c r="AH467" s="318"/>
      <c r="AI467" s="318"/>
      <c r="AJ467" s="318"/>
      <c r="AK467" s="318"/>
      <c r="AL467" s="318"/>
      <c r="AM467" s="318"/>
      <c r="AN467" s="318"/>
      <c r="AO467" s="318"/>
      <c r="AP467" s="318"/>
    </row>
    <row r="468" spans="3:42" ht="15">
      <c r="C468" s="352"/>
      <c r="D468" s="318"/>
      <c r="E468" s="318"/>
      <c r="F468" s="318"/>
      <c r="G468" s="318"/>
      <c r="H468" s="318"/>
      <c r="I468" s="318"/>
      <c r="J468" s="318"/>
      <c r="K468" s="318"/>
      <c r="L468" s="318"/>
      <c r="M468" s="318"/>
      <c r="N468" s="318"/>
      <c r="O468" s="318"/>
      <c r="P468" s="318"/>
      <c r="Q468" s="318"/>
      <c r="R468" s="318"/>
      <c r="S468" s="318"/>
      <c r="T468" s="318"/>
      <c r="U468" s="318"/>
      <c r="V468" s="318"/>
      <c r="W468" s="318"/>
      <c r="X468" s="318"/>
      <c r="Y468" s="318"/>
      <c r="Z468" s="318"/>
      <c r="AA468" s="318"/>
      <c r="AB468" s="318"/>
      <c r="AC468" s="318"/>
      <c r="AD468" s="318"/>
      <c r="AE468" s="318"/>
      <c r="AF468" s="318"/>
      <c r="AG468" s="318"/>
      <c r="AH468" s="318"/>
      <c r="AI468" s="318"/>
      <c r="AJ468" s="318"/>
      <c r="AK468" s="318"/>
      <c r="AL468" s="318"/>
      <c r="AM468" s="318"/>
      <c r="AN468" s="318"/>
      <c r="AO468" s="318"/>
      <c r="AP468" s="318"/>
    </row>
    <row r="469" spans="3:42" ht="15">
      <c r="C469" s="352"/>
      <c r="D469" s="318"/>
      <c r="E469" s="318"/>
      <c r="F469" s="318"/>
      <c r="G469" s="318"/>
      <c r="H469" s="318"/>
      <c r="I469" s="318"/>
      <c r="J469" s="318"/>
      <c r="K469" s="318"/>
      <c r="L469" s="318"/>
      <c r="M469" s="318"/>
      <c r="N469" s="318"/>
      <c r="O469" s="318"/>
      <c r="P469" s="318"/>
      <c r="Q469" s="318"/>
      <c r="R469" s="318"/>
      <c r="S469" s="318"/>
      <c r="T469" s="318"/>
      <c r="U469" s="318"/>
      <c r="V469" s="318"/>
      <c r="W469" s="318"/>
      <c r="X469" s="318"/>
      <c r="Y469" s="318"/>
      <c r="Z469" s="318"/>
      <c r="AA469" s="318"/>
      <c r="AB469" s="318"/>
      <c r="AC469" s="318"/>
      <c r="AD469" s="318"/>
      <c r="AE469" s="318"/>
      <c r="AF469" s="318"/>
      <c r="AG469" s="318"/>
      <c r="AH469" s="318"/>
      <c r="AI469" s="318"/>
      <c r="AJ469" s="318"/>
      <c r="AK469" s="318"/>
      <c r="AL469" s="318"/>
      <c r="AM469" s="318"/>
      <c r="AN469" s="318"/>
      <c r="AO469" s="318"/>
      <c r="AP469" s="318"/>
    </row>
    <row r="470" ht="15">
      <c r="C470" s="352"/>
    </row>
    <row r="471" ht="15">
      <c r="C471" s="352"/>
    </row>
    <row r="472" ht="15">
      <c r="C472" s="352"/>
    </row>
    <row r="473" ht="15">
      <c r="C473" s="352"/>
    </row>
    <row r="474" ht="15">
      <c r="C474" s="352"/>
    </row>
    <row r="475" ht="15">
      <c r="C475" s="352"/>
    </row>
    <row r="476" ht="15">
      <c r="C476" s="352"/>
    </row>
    <row r="477" ht="15">
      <c r="C477" s="352"/>
    </row>
    <row r="478" ht="15">
      <c r="C478" s="352"/>
    </row>
    <row r="479" ht="15">
      <c r="C479" s="352"/>
    </row>
    <row r="480" ht="15">
      <c r="C480" s="352"/>
    </row>
    <row r="481" ht="15">
      <c r="C481" s="352"/>
    </row>
    <row r="482" ht="15">
      <c r="C482" s="352"/>
    </row>
    <row r="483" ht="15">
      <c r="C483" s="352"/>
    </row>
    <row r="484" ht="15">
      <c r="C484" s="352"/>
    </row>
    <row r="485" ht="15">
      <c r="C485" s="352"/>
    </row>
    <row r="486" ht="15">
      <c r="C486" s="352"/>
    </row>
    <row r="487" ht="15">
      <c r="C487" s="352"/>
    </row>
    <row r="488" ht="15">
      <c r="C488" s="352"/>
    </row>
    <row r="489" ht="15">
      <c r="C489" s="352"/>
    </row>
    <row r="490" ht="15">
      <c r="C490" s="352"/>
    </row>
    <row r="491" ht="15">
      <c r="C491" s="352"/>
    </row>
    <row r="492" ht="15">
      <c r="C492" s="352"/>
    </row>
    <row r="493" ht="15">
      <c r="C493" s="352"/>
    </row>
    <row r="494" ht="15">
      <c r="C494" s="352"/>
    </row>
    <row r="495" ht="15">
      <c r="C495" s="352"/>
    </row>
    <row r="496" ht="15">
      <c r="C496" s="352"/>
    </row>
    <row r="497" ht="15">
      <c r="C497" s="352"/>
    </row>
    <row r="498" ht="15">
      <c r="C498" s="352"/>
    </row>
    <row r="499" ht="15">
      <c r="C499" s="352"/>
    </row>
    <row r="500" ht="15">
      <c r="C500" s="352"/>
    </row>
    <row r="501" ht="15">
      <c r="C501" s="352"/>
    </row>
    <row r="502" ht="15">
      <c r="C502" s="352"/>
    </row>
    <row r="503" ht="15">
      <c r="C503" s="352"/>
    </row>
    <row r="504" ht="15">
      <c r="C504" s="352"/>
    </row>
    <row r="505" ht="15">
      <c r="C505" s="352"/>
    </row>
    <row r="506" ht="15">
      <c r="C506" s="352"/>
    </row>
    <row r="507" ht="15">
      <c r="C507" s="352"/>
    </row>
    <row r="508" ht="15">
      <c r="C508" s="352"/>
    </row>
    <row r="509" ht="15">
      <c r="C509" s="352"/>
    </row>
    <row r="510" ht="15">
      <c r="C510" s="352"/>
    </row>
    <row r="511" ht="15">
      <c r="C511" s="352"/>
    </row>
    <row r="512" ht="15">
      <c r="C512" s="352"/>
    </row>
    <row r="513" ht="15">
      <c r="C513" s="352"/>
    </row>
    <row r="514" ht="15">
      <c r="C514" s="352"/>
    </row>
    <row r="515" ht="15">
      <c r="C515" s="352"/>
    </row>
    <row r="516" ht="15">
      <c r="C516" s="352"/>
    </row>
    <row r="517" ht="15">
      <c r="C517" s="352"/>
    </row>
    <row r="518" ht="15">
      <c r="C518" s="352"/>
    </row>
    <row r="519" ht="15">
      <c r="C519" s="352"/>
    </row>
    <row r="520" ht="15">
      <c r="C520" s="352"/>
    </row>
    <row r="521" ht="15">
      <c r="C521" s="352"/>
    </row>
    <row r="522" ht="15">
      <c r="C522" s="352"/>
    </row>
    <row r="523" ht="15">
      <c r="C523" s="352"/>
    </row>
    <row r="524" ht="15">
      <c r="C524" s="352"/>
    </row>
    <row r="525" ht="15">
      <c r="C525" s="352"/>
    </row>
    <row r="526" ht="15">
      <c r="C526" s="352"/>
    </row>
    <row r="527" ht="15">
      <c r="C527" s="352"/>
    </row>
    <row r="528" ht="15">
      <c r="C528" s="352"/>
    </row>
    <row r="529" ht="15">
      <c r="C529" s="352"/>
    </row>
    <row r="530" ht="15">
      <c r="C530" s="352"/>
    </row>
    <row r="531" ht="15">
      <c r="C531" s="352"/>
    </row>
    <row r="532" ht="15">
      <c r="C532" s="352"/>
    </row>
    <row r="533" ht="15">
      <c r="C533" s="352"/>
    </row>
    <row r="534" ht="15">
      <c r="C534" s="352"/>
    </row>
    <row r="535" ht="15">
      <c r="C535" s="352"/>
    </row>
    <row r="536" ht="15">
      <c r="C536" s="352"/>
    </row>
    <row r="537" ht="15">
      <c r="C537" s="352"/>
    </row>
    <row r="538" ht="15">
      <c r="C538" s="352"/>
    </row>
    <row r="539" ht="15">
      <c r="C539" s="352"/>
    </row>
    <row r="540" ht="15">
      <c r="C540" s="352"/>
    </row>
    <row r="541" ht="15">
      <c r="C541" s="352"/>
    </row>
    <row r="542" ht="15">
      <c r="C542" s="352"/>
    </row>
    <row r="543" ht="15">
      <c r="C543" s="352"/>
    </row>
    <row r="544" ht="15">
      <c r="C544" s="352"/>
    </row>
    <row r="545" ht="15">
      <c r="C545" s="352"/>
    </row>
    <row r="546" ht="15">
      <c r="C546" s="352"/>
    </row>
    <row r="547" ht="15">
      <c r="C547" s="352"/>
    </row>
    <row r="548" ht="15">
      <c r="C548" s="352"/>
    </row>
    <row r="549" ht="15">
      <c r="C549" s="352"/>
    </row>
    <row r="550" ht="15">
      <c r="C550" s="352"/>
    </row>
    <row r="551" ht="15">
      <c r="C551" s="352"/>
    </row>
    <row r="552" ht="15">
      <c r="C552" s="352"/>
    </row>
    <row r="553" ht="15">
      <c r="C553" s="352"/>
    </row>
    <row r="554" ht="15">
      <c r="C554" s="352"/>
    </row>
    <row r="555" ht="15">
      <c r="C555" s="352"/>
    </row>
    <row r="556" ht="15">
      <c r="C556" s="352"/>
    </row>
    <row r="557" ht="15">
      <c r="C557" s="352"/>
    </row>
    <row r="558" ht="15">
      <c r="C558" s="352"/>
    </row>
    <row r="559" ht="15">
      <c r="C559" s="352"/>
    </row>
    <row r="560" ht="15">
      <c r="C560" s="352"/>
    </row>
    <row r="561" ht="15">
      <c r="C561" s="352"/>
    </row>
    <row r="562" ht="15">
      <c r="C562" s="352"/>
    </row>
    <row r="563" ht="15">
      <c r="C563" s="352"/>
    </row>
    <row r="564" ht="15">
      <c r="C564" s="352"/>
    </row>
    <row r="565" ht="15">
      <c r="C565" s="352"/>
    </row>
    <row r="566" ht="15">
      <c r="C566" s="352"/>
    </row>
    <row r="567" ht="15">
      <c r="C567" s="352"/>
    </row>
    <row r="568" ht="15">
      <c r="C568" s="352"/>
    </row>
    <row r="569" ht="15">
      <c r="C569" s="352"/>
    </row>
    <row r="570" ht="15">
      <c r="C570" s="352"/>
    </row>
    <row r="571" ht="15">
      <c r="C571" s="352"/>
    </row>
    <row r="572" ht="15">
      <c r="C572" s="352"/>
    </row>
    <row r="573" ht="15">
      <c r="C573" s="352"/>
    </row>
    <row r="574" ht="15">
      <c r="C574" s="352"/>
    </row>
    <row r="575" ht="15">
      <c r="C575" s="352"/>
    </row>
    <row r="576" ht="15">
      <c r="C576" s="352"/>
    </row>
    <row r="577" ht="15">
      <c r="C577" s="352"/>
    </row>
    <row r="578" ht="15">
      <c r="C578" s="352"/>
    </row>
    <row r="579" ht="15">
      <c r="C579" s="352"/>
    </row>
    <row r="580" ht="15">
      <c r="C580" s="352"/>
    </row>
    <row r="581" ht="15">
      <c r="C581" s="352"/>
    </row>
    <row r="582" ht="15">
      <c r="C582" s="352"/>
    </row>
    <row r="583" ht="15">
      <c r="C583" s="352"/>
    </row>
    <row r="584" ht="15">
      <c r="C584" s="352"/>
    </row>
    <row r="585" ht="15">
      <c r="C585" s="352"/>
    </row>
    <row r="586" ht="15">
      <c r="C586" s="352"/>
    </row>
    <row r="587" ht="15">
      <c r="C587" s="352"/>
    </row>
    <row r="588" ht="15">
      <c r="C588" s="352"/>
    </row>
    <row r="589" ht="15">
      <c r="C589" s="352"/>
    </row>
    <row r="590" ht="15">
      <c r="C590" s="352"/>
    </row>
    <row r="591" ht="15">
      <c r="C591" s="352"/>
    </row>
    <row r="592" ht="15">
      <c r="C592" s="352"/>
    </row>
    <row r="593" ht="15">
      <c r="C593" s="352"/>
    </row>
    <row r="594" ht="15">
      <c r="C594" s="352"/>
    </row>
    <row r="595" ht="15">
      <c r="C595" s="352"/>
    </row>
    <row r="596" ht="15">
      <c r="C596" s="352"/>
    </row>
    <row r="597" ht="15">
      <c r="C597" s="352"/>
    </row>
    <row r="598" ht="15">
      <c r="C598" s="352"/>
    </row>
    <row r="599" ht="15">
      <c r="C599" s="352"/>
    </row>
    <row r="600" ht="15">
      <c r="C600" s="352"/>
    </row>
    <row r="601" ht="15">
      <c r="C601" s="352"/>
    </row>
    <row r="602" ht="15">
      <c r="C602" s="352"/>
    </row>
    <row r="603" ht="15">
      <c r="C603" s="352"/>
    </row>
    <row r="604" ht="15">
      <c r="C604" s="352"/>
    </row>
    <row r="605" ht="15">
      <c r="C605" s="352"/>
    </row>
    <row r="606" ht="15">
      <c r="C606" s="352"/>
    </row>
    <row r="607" ht="15">
      <c r="C607" s="352"/>
    </row>
    <row r="608" ht="15">
      <c r="C608" s="352"/>
    </row>
    <row r="609" ht="15">
      <c r="C609" s="352"/>
    </row>
    <row r="610" ht="15">
      <c r="C610" s="352"/>
    </row>
    <row r="611" ht="15">
      <c r="C611" s="352"/>
    </row>
    <row r="612" ht="15">
      <c r="C612" s="352"/>
    </row>
    <row r="613" ht="15">
      <c r="C613" s="352"/>
    </row>
    <row r="614" ht="15">
      <c r="C614" s="352"/>
    </row>
    <row r="615" ht="15">
      <c r="C615" s="352"/>
    </row>
    <row r="616" ht="15">
      <c r="C616" s="352"/>
    </row>
    <row r="617" ht="15">
      <c r="C617" s="352"/>
    </row>
    <row r="618" ht="15">
      <c r="C618" s="352"/>
    </row>
    <row r="619" ht="15">
      <c r="C619" s="352"/>
    </row>
    <row r="620" ht="15">
      <c r="C620" s="352"/>
    </row>
    <row r="621" ht="15">
      <c r="C621" s="352"/>
    </row>
    <row r="622" ht="15">
      <c r="C622" s="352"/>
    </row>
    <row r="623" ht="15">
      <c r="C623" s="352"/>
    </row>
    <row r="624" ht="15">
      <c r="C624" s="352"/>
    </row>
    <row r="625" ht="15">
      <c r="C625" s="352"/>
    </row>
    <row r="626" ht="15">
      <c r="C626" s="352"/>
    </row>
    <row r="627" ht="15">
      <c r="C627" s="352"/>
    </row>
    <row r="628" ht="15">
      <c r="C628" s="352"/>
    </row>
    <row r="629" ht="15">
      <c r="C629" s="352"/>
    </row>
    <row r="630" ht="15">
      <c r="C630" s="352"/>
    </row>
    <row r="631" ht="15">
      <c r="C631" s="352"/>
    </row>
    <row r="632" ht="15">
      <c r="C632" s="352"/>
    </row>
    <row r="633" ht="15">
      <c r="C633" s="352"/>
    </row>
    <row r="634" ht="15">
      <c r="C634" s="352"/>
    </row>
    <row r="635" ht="15">
      <c r="C635" s="352"/>
    </row>
    <row r="636" ht="15">
      <c r="C636" s="352"/>
    </row>
    <row r="637" ht="15">
      <c r="C637" s="352"/>
    </row>
    <row r="638" ht="15">
      <c r="C638" s="352"/>
    </row>
    <row r="639" ht="15">
      <c r="C639" s="352"/>
    </row>
    <row r="640" ht="15">
      <c r="C640" s="352"/>
    </row>
    <row r="641" ht="15">
      <c r="C641" s="352"/>
    </row>
    <row r="642" ht="15">
      <c r="C642" s="352"/>
    </row>
    <row r="643" ht="15">
      <c r="C643" s="352"/>
    </row>
    <row r="644" ht="15">
      <c r="C644" s="352"/>
    </row>
    <row r="645" ht="15">
      <c r="C645" s="352"/>
    </row>
    <row r="646" ht="15">
      <c r="C646" s="352"/>
    </row>
    <row r="647" ht="15">
      <c r="C647" s="352"/>
    </row>
    <row r="648" ht="15">
      <c r="C648" s="352"/>
    </row>
    <row r="649" ht="15">
      <c r="C649" s="352"/>
    </row>
    <row r="650" ht="15">
      <c r="C650" s="352"/>
    </row>
    <row r="651" ht="15">
      <c r="C651" s="352"/>
    </row>
    <row r="652" ht="15">
      <c r="C652" s="352"/>
    </row>
    <row r="653" ht="15">
      <c r="C653" s="352"/>
    </row>
    <row r="654" ht="15">
      <c r="C654" s="352"/>
    </row>
    <row r="655" ht="15">
      <c r="C655" s="352"/>
    </row>
    <row r="656" ht="15">
      <c r="C656" s="352"/>
    </row>
    <row r="657" ht="15">
      <c r="C657" s="352"/>
    </row>
    <row r="658" ht="15">
      <c r="C658" s="352"/>
    </row>
    <row r="659" ht="15">
      <c r="C659" s="352"/>
    </row>
    <row r="660" ht="15">
      <c r="C660" s="352"/>
    </row>
    <row r="661" ht="15">
      <c r="C661" s="352"/>
    </row>
    <row r="662" ht="15">
      <c r="C662" s="352"/>
    </row>
    <row r="663" ht="15">
      <c r="C663" s="352"/>
    </row>
    <row r="664" ht="15">
      <c r="C664" s="352"/>
    </row>
    <row r="665" ht="15">
      <c r="C665" s="352"/>
    </row>
    <row r="666" ht="15">
      <c r="C666" s="352"/>
    </row>
    <row r="667" ht="15">
      <c r="C667" s="352"/>
    </row>
    <row r="668" ht="15">
      <c r="C668" s="352"/>
    </row>
    <row r="669" ht="15">
      <c r="C669" s="352"/>
    </row>
    <row r="670" ht="15">
      <c r="C670" s="352"/>
    </row>
    <row r="671" ht="15">
      <c r="C671" s="352"/>
    </row>
    <row r="672" ht="15">
      <c r="C672" s="352"/>
    </row>
    <row r="673" ht="15">
      <c r="C673" s="352"/>
    </row>
    <row r="674" ht="15">
      <c r="C674" s="352"/>
    </row>
    <row r="675" ht="15">
      <c r="C675" s="352"/>
    </row>
    <row r="676" ht="15">
      <c r="C676" s="352"/>
    </row>
    <row r="677" ht="15">
      <c r="C677" s="352"/>
    </row>
    <row r="678" ht="15">
      <c r="C678" s="352"/>
    </row>
    <row r="679" ht="15">
      <c r="C679" s="352"/>
    </row>
    <row r="680" ht="15">
      <c r="C680" s="352"/>
    </row>
    <row r="681" ht="15">
      <c r="C681" s="352"/>
    </row>
    <row r="682" ht="15">
      <c r="C682" s="352"/>
    </row>
    <row r="683" ht="15">
      <c r="C683" s="352"/>
    </row>
    <row r="684" ht="15">
      <c r="C684" s="352"/>
    </row>
    <row r="685" ht="15">
      <c r="C685" s="352"/>
    </row>
    <row r="686" ht="15">
      <c r="C686" s="352"/>
    </row>
    <row r="687" ht="15">
      <c r="C687" s="352"/>
    </row>
    <row r="688" ht="15">
      <c r="C688" s="352"/>
    </row>
    <row r="689" ht="15">
      <c r="C689" s="352"/>
    </row>
    <row r="690" ht="15">
      <c r="C690" s="352"/>
    </row>
    <row r="691" ht="15">
      <c r="C691" s="352"/>
    </row>
    <row r="692" ht="15">
      <c r="C692" s="352"/>
    </row>
    <row r="693" ht="15">
      <c r="C693" s="352"/>
    </row>
    <row r="694" ht="15">
      <c r="C694" s="352"/>
    </row>
    <row r="695" ht="15">
      <c r="C695" s="352"/>
    </row>
    <row r="696" ht="15">
      <c r="C696" s="352"/>
    </row>
    <row r="697" ht="15">
      <c r="C697" s="352"/>
    </row>
    <row r="698" ht="15">
      <c r="C698" s="352"/>
    </row>
    <row r="699" ht="15">
      <c r="C699" s="352"/>
    </row>
    <row r="700" ht="15">
      <c r="C700" s="352"/>
    </row>
    <row r="701" ht="15">
      <c r="C701" s="352"/>
    </row>
    <row r="702" ht="15">
      <c r="C702" s="352"/>
    </row>
    <row r="703" ht="15">
      <c r="C703" s="352"/>
    </row>
    <row r="704" ht="15">
      <c r="C704" s="352"/>
    </row>
    <row r="705" ht="15">
      <c r="C705" s="352"/>
    </row>
    <row r="706" ht="15">
      <c r="C706" s="352"/>
    </row>
    <row r="707" ht="15">
      <c r="C707" s="352"/>
    </row>
    <row r="708" ht="15">
      <c r="C708" s="352"/>
    </row>
    <row r="709" ht="15">
      <c r="C709" s="352"/>
    </row>
    <row r="710" ht="15">
      <c r="C710" s="352"/>
    </row>
    <row r="711" ht="15">
      <c r="C711" s="352"/>
    </row>
    <row r="712" ht="15">
      <c r="C712" s="352"/>
    </row>
    <row r="713" ht="15">
      <c r="C713" s="352"/>
    </row>
    <row r="714" ht="15">
      <c r="C714" s="352"/>
    </row>
    <row r="715" ht="15">
      <c r="C715" s="352"/>
    </row>
    <row r="716" ht="15">
      <c r="C716" s="352"/>
    </row>
    <row r="717" ht="15">
      <c r="C717" s="352"/>
    </row>
    <row r="718" ht="15">
      <c r="C718" s="352"/>
    </row>
    <row r="719" ht="15">
      <c r="C719" s="352"/>
    </row>
    <row r="720" ht="15">
      <c r="C720" s="352"/>
    </row>
    <row r="721" ht="15">
      <c r="C721" s="352"/>
    </row>
    <row r="722" ht="15">
      <c r="C722" s="352"/>
    </row>
    <row r="723" ht="15">
      <c r="C723" s="352"/>
    </row>
    <row r="724" ht="15">
      <c r="C724" s="352"/>
    </row>
    <row r="725" ht="15">
      <c r="C725" s="352"/>
    </row>
    <row r="726" ht="15">
      <c r="C726" s="352"/>
    </row>
    <row r="727" ht="15">
      <c r="C727" s="352"/>
    </row>
    <row r="728" ht="15">
      <c r="C728" s="352"/>
    </row>
    <row r="729" ht="15">
      <c r="C729" s="352"/>
    </row>
    <row r="730" ht="15">
      <c r="C730" s="352"/>
    </row>
    <row r="731" ht="15">
      <c r="C731" s="352"/>
    </row>
    <row r="732" ht="15">
      <c r="C732" s="352"/>
    </row>
    <row r="733" ht="15">
      <c r="C733" s="352"/>
    </row>
    <row r="734" ht="15">
      <c r="C734" s="352"/>
    </row>
    <row r="735" ht="15">
      <c r="C735" s="352"/>
    </row>
    <row r="736" ht="15">
      <c r="C736" s="352"/>
    </row>
    <row r="737" ht="15">
      <c r="C737" s="352"/>
    </row>
    <row r="738" ht="15">
      <c r="C738" s="352"/>
    </row>
    <row r="739" ht="15">
      <c r="C739" s="352"/>
    </row>
    <row r="740" ht="15">
      <c r="C740" s="352"/>
    </row>
    <row r="741" ht="15">
      <c r="C741" s="352"/>
    </row>
    <row r="742" ht="15">
      <c r="C742" s="352"/>
    </row>
    <row r="743" ht="15">
      <c r="C743" s="352"/>
    </row>
    <row r="744" ht="15">
      <c r="C744" s="352"/>
    </row>
    <row r="745" ht="15">
      <c r="C745" s="352"/>
    </row>
    <row r="746" ht="15">
      <c r="C746" s="352"/>
    </row>
    <row r="747" ht="15">
      <c r="C747" s="352"/>
    </row>
    <row r="748" ht="15">
      <c r="C748" s="352"/>
    </row>
    <row r="749" ht="15">
      <c r="C749" s="352"/>
    </row>
    <row r="750" ht="15">
      <c r="C750" s="352"/>
    </row>
    <row r="751" ht="15">
      <c r="C751" s="352"/>
    </row>
    <row r="752" ht="15">
      <c r="C752" s="352"/>
    </row>
    <row r="753" ht="15">
      <c r="C753" s="352"/>
    </row>
    <row r="754" ht="15">
      <c r="C754" s="352"/>
    </row>
    <row r="755" ht="15">
      <c r="C755" s="352"/>
    </row>
    <row r="756" ht="15">
      <c r="C756" s="352"/>
    </row>
    <row r="757" ht="15">
      <c r="C757" s="352"/>
    </row>
    <row r="758" ht="15">
      <c r="C758" s="352"/>
    </row>
    <row r="759" ht="15">
      <c r="C759" s="352"/>
    </row>
    <row r="760" ht="15">
      <c r="C760" s="352"/>
    </row>
    <row r="761" ht="15">
      <c r="C761" s="352"/>
    </row>
    <row r="762" ht="15">
      <c r="C762" s="352"/>
    </row>
    <row r="763" ht="15">
      <c r="C763" s="352"/>
    </row>
    <row r="764" ht="15">
      <c r="C764" s="352"/>
    </row>
    <row r="765" ht="15">
      <c r="C765" s="352"/>
    </row>
    <row r="766" ht="15">
      <c r="C766" s="352"/>
    </row>
    <row r="767" ht="15">
      <c r="C767" s="352"/>
    </row>
    <row r="768" ht="15">
      <c r="C768" s="352"/>
    </row>
    <row r="769" ht="15">
      <c r="C769" s="352"/>
    </row>
    <row r="770" ht="15">
      <c r="C770" s="352"/>
    </row>
    <row r="771" ht="15">
      <c r="C771" s="352"/>
    </row>
    <row r="772" ht="15">
      <c r="C772" s="352"/>
    </row>
    <row r="773" ht="15">
      <c r="C773" s="352"/>
    </row>
    <row r="774" ht="15">
      <c r="C774" s="352"/>
    </row>
    <row r="775" ht="15">
      <c r="C775" s="352"/>
    </row>
    <row r="776" ht="15">
      <c r="C776" s="352"/>
    </row>
    <row r="777" ht="15">
      <c r="C777" s="352"/>
    </row>
    <row r="778" ht="15">
      <c r="C778" s="352"/>
    </row>
    <row r="779" ht="15">
      <c r="C779" s="352"/>
    </row>
    <row r="780" ht="15">
      <c r="C780" s="352"/>
    </row>
    <row r="781" ht="15">
      <c r="C781" s="352"/>
    </row>
    <row r="782" ht="15">
      <c r="C782" s="352"/>
    </row>
    <row r="783" ht="15">
      <c r="C783" s="352"/>
    </row>
    <row r="784" ht="15">
      <c r="C784" s="352"/>
    </row>
    <row r="785" ht="15">
      <c r="C785" s="352"/>
    </row>
    <row r="786" ht="15">
      <c r="C786" s="352"/>
    </row>
    <row r="787" ht="15">
      <c r="C787" s="352"/>
    </row>
    <row r="788" ht="15">
      <c r="C788" s="352"/>
    </row>
    <row r="789" ht="15">
      <c r="C789" s="352"/>
    </row>
    <row r="790" ht="15">
      <c r="C790" s="352"/>
    </row>
    <row r="791" ht="15">
      <c r="C791" s="352"/>
    </row>
    <row r="792" ht="15">
      <c r="C792" s="352"/>
    </row>
    <row r="793" ht="15">
      <c r="C793" s="352"/>
    </row>
    <row r="794" ht="15">
      <c r="C794" s="352"/>
    </row>
    <row r="795" ht="15">
      <c r="C795" s="352"/>
    </row>
    <row r="796" ht="15">
      <c r="C796" s="352"/>
    </row>
    <row r="797" ht="15">
      <c r="C797" s="352"/>
    </row>
    <row r="798" ht="15">
      <c r="C798" s="352"/>
    </row>
    <row r="799" ht="15">
      <c r="C799" s="352"/>
    </row>
    <row r="800" ht="15">
      <c r="C800" s="352"/>
    </row>
    <row r="801" ht="15">
      <c r="C801" s="352"/>
    </row>
    <row r="802" ht="15">
      <c r="C802" s="352"/>
    </row>
    <row r="803" ht="15">
      <c r="C803" s="352"/>
    </row>
    <row r="804" ht="15">
      <c r="C804" s="352"/>
    </row>
    <row r="805" ht="15">
      <c r="C805" s="352"/>
    </row>
    <row r="806" ht="15">
      <c r="C806" s="352"/>
    </row>
    <row r="807" ht="15">
      <c r="C807" s="352"/>
    </row>
    <row r="808" ht="15">
      <c r="C808" s="352"/>
    </row>
    <row r="809" ht="15">
      <c r="C809" s="352"/>
    </row>
    <row r="810" ht="15">
      <c r="C810" s="352"/>
    </row>
    <row r="811" ht="15">
      <c r="C811" s="352"/>
    </row>
    <row r="812" ht="15">
      <c r="C812" s="352"/>
    </row>
    <row r="813" ht="15">
      <c r="C813" s="352"/>
    </row>
    <row r="814" ht="15">
      <c r="C814" s="352"/>
    </row>
    <row r="815" ht="15">
      <c r="C815" s="352"/>
    </row>
    <row r="816" ht="15">
      <c r="C816" s="352"/>
    </row>
    <row r="817" ht="15">
      <c r="C817" s="352"/>
    </row>
    <row r="818" ht="15">
      <c r="C818" s="352"/>
    </row>
    <row r="819" ht="15">
      <c r="C819" s="352"/>
    </row>
    <row r="820" ht="15">
      <c r="C820" s="352"/>
    </row>
    <row r="821" ht="15">
      <c r="C821" s="352"/>
    </row>
    <row r="822" ht="15">
      <c r="C822" s="352"/>
    </row>
    <row r="823" ht="15">
      <c r="C823" s="352"/>
    </row>
    <row r="824" ht="15">
      <c r="C824" s="352"/>
    </row>
    <row r="825" ht="15">
      <c r="C825" s="352"/>
    </row>
    <row r="826" ht="15">
      <c r="C826" s="352"/>
    </row>
    <row r="827" ht="15">
      <c r="C827" s="352"/>
    </row>
    <row r="828" ht="15">
      <c r="C828" s="352"/>
    </row>
    <row r="829" ht="15">
      <c r="C829" s="352"/>
    </row>
    <row r="830" ht="15">
      <c r="C830" s="352"/>
    </row>
    <row r="831" ht="15">
      <c r="C831" s="352"/>
    </row>
    <row r="832" ht="15">
      <c r="C832" s="352"/>
    </row>
    <row r="833" ht="15">
      <c r="C833" s="352"/>
    </row>
    <row r="834" ht="15">
      <c r="C834" s="352"/>
    </row>
    <row r="835" ht="15">
      <c r="C835" s="352"/>
    </row>
    <row r="836" ht="15">
      <c r="C836" s="352"/>
    </row>
    <row r="837" ht="15">
      <c r="C837" s="352"/>
    </row>
    <row r="838" ht="15">
      <c r="C838" s="352"/>
    </row>
    <row r="839" ht="15">
      <c r="C839" s="352"/>
    </row>
    <row r="840" ht="15">
      <c r="C840" s="352"/>
    </row>
    <row r="841" ht="15">
      <c r="C841" s="352"/>
    </row>
    <row r="842" ht="15">
      <c r="C842" s="352"/>
    </row>
    <row r="843" ht="15">
      <c r="C843" s="352"/>
    </row>
    <row r="844" ht="15">
      <c r="C844" s="352"/>
    </row>
    <row r="845" ht="15">
      <c r="C845" s="352"/>
    </row>
    <row r="846" ht="15">
      <c r="C846" s="352"/>
    </row>
    <row r="847" ht="15">
      <c r="C847" s="352"/>
    </row>
    <row r="848" ht="15">
      <c r="C848" s="352"/>
    </row>
    <row r="849" ht="15">
      <c r="C849" s="352"/>
    </row>
    <row r="850" ht="15">
      <c r="C850" s="352"/>
    </row>
    <row r="851" ht="15">
      <c r="C851" s="352"/>
    </row>
    <row r="852" ht="15">
      <c r="C852" s="352"/>
    </row>
    <row r="853" ht="15">
      <c r="C853" s="352"/>
    </row>
    <row r="854" ht="15">
      <c r="C854" s="352"/>
    </row>
    <row r="855" ht="15">
      <c r="C855" s="352"/>
    </row>
    <row r="856" ht="15">
      <c r="C856" s="352"/>
    </row>
    <row r="857" ht="15">
      <c r="C857" s="352"/>
    </row>
    <row r="858" ht="15">
      <c r="C858" s="352"/>
    </row>
    <row r="859" ht="15">
      <c r="C859" s="352"/>
    </row>
    <row r="860" ht="15">
      <c r="C860" s="352"/>
    </row>
    <row r="861" ht="15">
      <c r="C861" s="352"/>
    </row>
    <row r="862" ht="15">
      <c r="C862" s="352"/>
    </row>
    <row r="863" ht="15">
      <c r="C863" s="352"/>
    </row>
    <row r="864" ht="15">
      <c r="C864" s="352"/>
    </row>
    <row r="865" ht="15">
      <c r="C865" s="352"/>
    </row>
    <row r="866" ht="15">
      <c r="C866" s="352"/>
    </row>
    <row r="867" ht="15">
      <c r="C867" s="352"/>
    </row>
    <row r="868" ht="15">
      <c r="C868" s="352"/>
    </row>
    <row r="869" ht="15">
      <c r="C869" s="352"/>
    </row>
    <row r="870" ht="15">
      <c r="C870" s="352"/>
    </row>
    <row r="871" ht="15">
      <c r="C871" s="352"/>
    </row>
    <row r="872" ht="15">
      <c r="C872" s="352"/>
    </row>
    <row r="873" ht="15">
      <c r="C873" s="352"/>
    </row>
    <row r="874" ht="15">
      <c r="C874" s="352"/>
    </row>
    <row r="875" ht="15">
      <c r="C875" s="352"/>
    </row>
    <row r="876" ht="15">
      <c r="C876" s="352"/>
    </row>
    <row r="877" ht="15">
      <c r="C877" s="352"/>
    </row>
    <row r="878" ht="15">
      <c r="C878" s="352"/>
    </row>
    <row r="879" ht="15">
      <c r="C879" s="352"/>
    </row>
    <row r="880" ht="15">
      <c r="C880" s="352"/>
    </row>
    <row r="881" ht="15">
      <c r="C881" s="352"/>
    </row>
    <row r="882" ht="15">
      <c r="C882" s="352"/>
    </row>
    <row r="883" ht="15">
      <c r="C883" s="352"/>
    </row>
    <row r="884" ht="15">
      <c r="C884" s="352"/>
    </row>
    <row r="885" ht="15">
      <c r="C885" s="352"/>
    </row>
    <row r="886" ht="15">
      <c r="C886" s="352"/>
    </row>
    <row r="887" ht="15">
      <c r="C887" s="352"/>
    </row>
    <row r="888" ht="15">
      <c r="C888" s="352"/>
    </row>
    <row r="889" ht="15">
      <c r="C889" s="352"/>
    </row>
    <row r="890" ht="15">
      <c r="C890" s="352"/>
    </row>
    <row r="891" ht="15">
      <c r="C891" s="352"/>
    </row>
    <row r="892" ht="15">
      <c r="C892" s="352"/>
    </row>
    <row r="893" ht="15">
      <c r="C893" s="352"/>
    </row>
    <row r="894" ht="15">
      <c r="C894" s="352"/>
    </row>
    <row r="895" ht="15">
      <c r="C895" s="352"/>
    </row>
    <row r="896" ht="15">
      <c r="C896" s="352"/>
    </row>
    <row r="897" ht="15">
      <c r="C897" s="352"/>
    </row>
    <row r="898" ht="15">
      <c r="C898" s="352"/>
    </row>
    <row r="899" ht="15">
      <c r="C899" s="352"/>
    </row>
    <row r="900" ht="15">
      <c r="C900" s="352"/>
    </row>
    <row r="901" ht="15">
      <c r="C901" s="352"/>
    </row>
    <row r="902" ht="15">
      <c r="C902" s="352"/>
    </row>
    <row r="903" ht="15">
      <c r="C903" s="352"/>
    </row>
    <row r="904" ht="15">
      <c r="C904" s="352"/>
    </row>
    <row r="905" ht="15">
      <c r="C905" s="352"/>
    </row>
    <row r="906" ht="15">
      <c r="C906" s="352"/>
    </row>
    <row r="907" ht="15">
      <c r="C907" s="352"/>
    </row>
    <row r="908" ht="15">
      <c r="C908" s="352"/>
    </row>
    <row r="909" ht="15">
      <c r="C909" s="352"/>
    </row>
    <row r="910" ht="15">
      <c r="C910" s="352"/>
    </row>
    <row r="911" ht="15">
      <c r="C911" s="352"/>
    </row>
    <row r="912" ht="15">
      <c r="C912" s="352"/>
    </row>
    <row r="913" ht="15">
      <c r="C913" s="352"/>
    </row>
    <row r="914" ht="15">
      <c r="C914" s="352"/>
    </row>
    <row r="915" ht="15">
      <c r="C915" s="352"/>
    </row>
    <row r="916" ht="15">
      <c r="C916" s="352"/>
    </row>
    <row r="917" ht="15">
      <c r="C917" s="352"/>
    </row>
    <row r="918" ht="15">
      <c r="C918" s="352"/>
    </row>
    <row r="919" ht="15">
      <c r="C919" s="352"/>
    </row>
    <row r="920" ht="15">
      <c r="C920" s="352"/>
    </row>
    <row r="921" ht="15">
      <c r="C921" s="352"/>
    </row>
    <row r="922" ht="15">
      <c r="C922" s="352"/>
    </row>
    <row r="923" ht="15">
      <c r="C923" s="352"/>
    </row>
    <row r="924" ht="15">
      <c r="C924" s="352"/>
    </row>
    <row r="925" ht="15">
      <c r="C925" s="352"/>
    </row>
    <row r="926" ht="15">
      <c r="C926" s="352"/>
    </row>
    <row r="927" ht="15">
      <c r="C927" s="352"/>
    </row>
    <row r="928" ht="15">
      <c r="C928" s="352"/>
    </row>
    <row r="929" ht="15">
      <c r="C929" s="352"/>
    </row>
    <row r="930" ht="15">
      <c r="C930" s="352"/>
    </row>
    <row r="931" ht="15">
      <c r="C931" s="352"/>
    </row>
    <row r="932" ht="15">
      <c r="C932" s="352"/>
    </row>
    <row r="933" ht="15">
      <c r="C933" s="352"/>
    </row>
    <row r="934" ht="15">
      <c r="C934" s="352"/>
    </row>
    <row r="935" ht="15">
      <c r="C935" s="352"/>
    </row>
    <row r="936" ht="15">
      <c r="C936" s="352"/>
    </row>
    <row r="937" ht="15">
      <c r="C937" s="352"/>
    </row>
    <row r="938" ht="15">
      <c r="C938" s="352"/>
    </row>
    <row r="939" ht="15">
      <c r="C939" s="352"/>
    </row>
    <row r="940" ht="15">
      <c r="C940" s="352"/>
    </row>
    <row r="941" ht="15">
      <c r="C941" s="352"/>
    </row>
    <row r="942" ht="15">
      <c r="C942" s="352"/>
    </row>
    <row r="943" ht="15">
      <c r="C943" s="352"/>
    </row>
    <row r="944" ht="15">
      <c r="C944" s="352"/>
    </row>
    <row r="945" ht="15">
      <c r="C945" s="352"/>
    </row>
    <row r="946" ht="15">
      <c r="C946" s="352"/>
    </row>
    <row r="947" ht="15">
      <c r="C947" s="352"/>
    </row>
    <row r="948" ht="15">
      <c r="C948" s="352"/>
    </row>
    <row r="949" ht="15">
      <c r="C949" s="352"/>
    </row>
    <row r="950" ht="15">
      <c r="C950" s="352"/>
    </row>
    <row r="951" ht="15">
      <c r="C951" s="352"/>
    </row>
    <row r="952" ht="15">
      <c r="C952" s="352"/>
    </row>
    <row r="953" ht="15">
      <c r="C953" s="352"/>
    </row>
    <row r="954" ht="15">
      <c r="C954" s="352"/>
    </row>
    <row r="955" ht="15">
      <c r="C955" s="352"/>
    </row>
    <row r="956" ht="15">
      <c r="C956" s="352"/>
    </row>
    <row r="957" ht="15">
      <c r="C957" s="352"/>
    </row>
    <row r="958" ht="15">
      <c r="C958" s="352"/>
    </row>
    <row r="959" ht="15">
      <c r="C959" s="352"/>
    </row>
    <row r="960" ht="15">
      <c r="C960" s="352"/>
    </row>
    <row r="961" ht="15">
      <c r="C961" s="352"/>
    </row>
    <row r="962" ht="15">
      <c r="C962" s="352"/>
    </row>
    <row r="963" ht="15">
      <c r="C963" s="352"/>
    </row>
    <row r="964" ht="15">
      <c r="C964" s="352"/>
    </row>
    <row r="965" ht="15">
      <c r="C965" s="352"/>
    </row>
    <row r="966" ht="15">
      <c r="C966" s="352"/>
    </row>
    <row r="967" ht="15">
      <c r="C967" s="352"/>
    </row>
    <row r="968" ht="15">
      <c r="C968" s="352"/>
    </row>
    <row r="969" ht="15">
      <c r="C969" s="352"/>
    </row>
    <row r="970" ht="15">
      <c r="C970" s="352"/>
    </row>
    <row r="971" ht="15">
      <c r="C971" s="352"/>
    </row>
    <row r="972" ht="15">
      <c r="C972" s="352"/>
    </row>
    <row r="973" ht="15">
      <c r="C973" s="352"/>
    </row>
    <row r="974" ht="15">
      <c r="C974" s="352"/>
    </row>
    <row r="975" ht="15">
      <c r="C975" s="352"/>
    </row>
    <row r="976" ht="15">
      <c r="C976" s="352"/>
    </row>
    <row r="977" ht="15">
      <c r="C977" s="352"/>
    </row>
    <row r="978" ht="15">
      <c r="C978" s="352"/>
    </row>
    <row r="979" ht="15">
      <c r="C979" s="352"/>
    </row>
    <row r="980" ht="15">
      <c r="C980" s="352"/>
    </row>
    <row r="981" ht="15">
      <c r="C981" s="352"/>
    </row>
    <row r="982" ht="15">
      <c r="C982" s="352"/>
    </row>
    <row r="983" ht="15">
      <c r="C983" s="352"/>
    </row>
    <row r="984" ht="15">
      <c r="C984" s="352"/>
    </row>
    <row r="985" ht="15">
      <c r="C985" s="352"/>
    </row>
    <row r="986" ht="15">
      <c r="C986" s="352"/>
    </row>
    <row r="987" ht="15">
      <c r="C987" s="352"/>
    </row>
    <row r="988" ht="15">
      <c r="C988" s="352"/>
    </row>
    <row r="989" ht="15">
      <c r="C989" s="352"/>
    </row>
    <row r="990" ht="15">
      <c r="C990" s="352"/>
    </row>
    <row r="991" ht="15">
      <c r="C991" s="352"/>
    </row>
    <row r="992" ht="15">
      <c r="C992" s="352"/>
    </row>
    <row r="993" ht="15">
      <c r="C993" s="352"/>
    </row>
    <row r="994" ht="15">
      <c r="C994" s="352"/>
    </row>
    <row r="995" ht="15">
      <c r="C995" s="352"/>
    </row>
    <row r="996" ht="15">
      <c r="C996" s="352"/>
    </row>
    <row r="997" ht="15">
      <c r="C997" s="352"/>
    </row>
    <row r="998" ht="15">
      <c r="C998" s="352"/>
    </row>
    <row r="999" ht="15">
      <c r="C999" s="352"/>
    </row>
    <row r="1000" ht="15">
      <c r="C1000" s="352"/>
    </row>
    <row r="1001" ht="15">
      <c r="C1001" s="352"/>
    </row>
    <row r="1002" ht="15">
      <c r="C1002" s="352"/>
    </row>
    <row r="1003" ht="15">
      <c r="C1003" s="352"/>
    </row>
    <row r="1004" ht="15">
      <c r="C1004" s="352"/>
    </row>
    <row r="1005" ht="15">
      <c r="C1005" s="352"/>
    </row>
    <row r="1006" ht="15">
      <c r="C1006" s="352"/>
    </row>
    <row r="1007" ht="15">
      <c r="C1007" s="352"/>
    </row>
    <row r="1008" ht="15">
      <c r="C1008" s="352"/>
    </row>
    <row r="1009" ht="15">
      <c r="C1009" s="352"/>
    </row>
    <row r="1010" ht="15">
      <c r="C1010" s="352"/>
    </row>
    <row r="1011" ht="15">
      <c r="C1011" s="352"/>
    </row>
    <row r="1012" ht="15">
      <c r="C1012" s="352"/>
    </row>
    <row r="1013" ht="15">
      <c r="C1013" s="352"/>
    </row>
    <row r="1014" ht="15">
      <c r="C1014" s="352"/>
    </row>
    <row r="1015" ht="15">
      <c r="C1015" s="352"/>
    </row>
    <row r="1016" ht="15">
      <c r="C1016" s="352"/>
    </row>
    <row r="1017" ht="15">
      <c r="C1017" s="352"/>
    </row>
    <row r="1018" ht="15">
      <c r="C1018" s="352"/>
    </row>
    <row r="1019" ht="15">
      <c r="C1019" s="352"/>
    </row>
    <row r="1020" ht="15">
      <c r="C1020" s="352"/>
    </row>
    <row r="1021" ht="15">
      <c r="C1021" s="352"/>
    </row>
    <row r="1022" ht="15">
      <c r="C1022" s="352"/>
    </row>
    <row r="1023" ht="15">
      <c r="C1023" s="352"/>
    </row>
    <row r="1024" ht="15">
      <c r="C1024" s="352"/>
    </row>
    <row r="1025" ht="15">
      <c r="C1025" s="352"/>
    </row>
    <row r="1026" ht="15">
      <c r="C1026" s="352"/>
    </row>
    <row r="1027" ht="15">
      <c r="C1027" s="352"/>
    </row>
    <row r="1028" ht="15">
      <c r="C1028" s="352"/>
    </row>
    <row r="1029" ht="15">
      <c r="C1029" s="352"/>
    </row>
    <row r="1030" ht="15">
      <c r="C1030" s="352"/>
    </row>
    <row r="1031" ht="15">
      <c r="C1031" s="352"/>
    </row>
    <row r="1032" ht="15">
      <c r="C1032" s="352"/>
    </row>
    <row r="1033" ht="15">
      <c r="C1033" s="352"/>
    </row>
    <row r="1034" ht="15">
      <c r="C1034" s="352"/>
    </row>
    <row r="1035" ht="15">
      <c r="C1035" s="352"/>
    </row>
    <row r="1036" ht="15">
      <c r="C1036" s="352"/>
    </row>
    <row r="1037" ht="15">
      <c r="C1037" s="352"/>
    </row>
    <row r="1038" ht="15">
      <c r="C1038" s="352"/>
    </row>
    <row r="1039" ht="15">
      <c r="C1039" s="352"/>
    </row>
    <row r="1040" ht="15">
      <c r="C1040" s="352"/>
    </row>
    <row r="1041" ht="15">
      <c r="C1041" s="352"/>
    </row>
    <row r="1042" ht="15">
      <c r="C1042" s="352"/>
    </row>
    <row r="1043" ht="15">
      <c r="C1043" s="352"/>
    </row>
    <row r="1044" ht="15">
      <c r="C1044" s="352"/>
    </row>
    <row r="1045" ht="15">
      <c r="C1045" s="352"/>
    </row>
    <row r="1046" ht="15">
      <c r="C1046" s="352"/>
    </row>
    <row r="1047" ht="15">
      <c r="C1047" s="352"/>
    </row>
    <row r="1048" ht="15">
      <c r="C1048" s="352"/>
    </row>
    <row r="1049" ht="15">
      <c r="C1049" s="352"/>
    </row>
    <row r="1050" ht="15">
      <c r="C1050" s="352"/>
    </row>
    <row r="1051" ht="15">
      <c r="C1051" s="352"/>
    </row>
    <row r="1052" ht="15">
      <c r="C1052" s="352"/>
    </row>
    <row r="1053" ht="15">
      <c r="C1053" s="352"/>
    </row>
    <row r="1054" ht="15">
      <c r="C1054" s="352"/>
    </row>
    <row r="1055" ht="15">
      <c r="C1055" s="352"/>
    </row>
    <row r="1056" ht="15">
      <c r="C1056" s="352"/>
    </row>
    <row r="1057" ht="15">
      <c r="C1057" s="352"/>
    </row>
    <row r="1058" ht="15">
      <c r="C1058" s="352"/>
    </row>
    <row r="1059" ht="15">
      <c r="C1059" s="352"/>
    </row>
    <row r="1060" ht="15">
      <c r="C1060" s="352"/>
    </row>
    <row r="1061" ht="15">
      <c r="C1061" s="352"/>
    </row>
    <row r="1062" ht="15">
      <c r="C1062" s="352"/>
    </row>
    <row r="1063" ht="15">
      <c r="C1063" s="352"/>
    </row>
    <row r="1064" ht="15">
      <c r="C1064" s="352"/>
    </row>
    <row r="1065" ht="15">
      <c r="C1065" s="352"/>
    </row>
    <row r="1066" ht="15">
      <c r="C1066" s="352"/>
    </row>
    <row r="1067" ht="15">
      <c r="C1067" s="352"/>
    </row>
    <row r="1068" ht="15">
      <c r="C1068" s="352"/>
    </row>
    <row r="1069" ht="15">
      <c r="C1069" s="352"/>
    </row>
    <row r="1070" ht="15">
      <c r="C1070" s="352"/>
    </row>
    <row r="1071" ht="15">
      <c r="C1071" s="352"/>
    </row>
    <row r="1072" ht="15">
      <c r="C1072" s="352"/>
    </row>
    <row r="1073" ht="15">
      <c r="C1073" s="352"/>
    </row>
    <row r="1074" ht="15">
      <c r="C1074" s="352"/>
    </row>
    <row r="1075" ht="15">
      <c r="C1075" s="352"/>
    </row>
    <row r="1076" ht="15">
      <c r="C1076" s="352"/>
    </row>
    <row r="1077" ht="15">
      <c r="C1077" s="352"/>
    </row>
    <row r="1078" ht="15">
      <c r="C1078" s="352"/>
    </row>
    <row r="1079" ht="15">
      <c r="C1079" s="352"/>
    </row>
    <row r="1080" ht="15">
      <c r="C1080" s="352"/>
    </row>
    <row r="1081" ht="15">
      <c r="C1081" s="352"/>
    </row>
    <row r="1082" ht="15">
      <c r="C1082" s="352"/>
    </row>
    <row r="1083" ht="15">
      <c r="C1083" s="352"/>
    </row>
    <row r="1084" ht="15">
      <c r="C1084" s="352"/>
    </row>
    <row r="1085" ht="15">
      <c r="C1085" s="352"/>
    </row>
    <row r="1086" ht="15">
      <c r="C1086" s="352"/>
    </row>
    <row r="1087" ht="15">
      <c r="C1087" s="352"/>
    </row>
    <row r="1088" ht="15">
      <c r="C1088" s="352"/>
    </row>
    <row r="1089" ht="15">
      <c r="C1089" s="352"/>
    </row>
    <row r="1090" ht="15">
      <c r="C1090" s="352"/>
    </row>
    <row r="1091" ht="15">
      <c r="C1091" s="352"/>
    </row>
    <row r="1092" ht="15">
      <c r="C1092" s="352"/>
    </row>
    <row r="1093" ht="15">
      <c r="C1093" s="352"/>
    </row>
    <row r="1094" ht="15">
      <c r="C1094" s="352"/>
    </row>
    <row r="1095" ht="15">
      <c r="C1095" s="352"/>
    </row>
    <row r="1096" ht="15">
      <c r="C1096" s="352"/>
    </row>
    <row r="1097" ht="15">
      <c r="C1097" s="352"/>
    </row>
    <row r="1098" ht="15">
      <c r="C1098" s="352"/>
    </row>
    <row r="1099" ht="15">
      <c r="C1099" s="352"/>
    </row>
    <row r="1100" ht="15">
      <c r="C1100" s="352"/>
    </row>
    <row r="1101" ht="15">
      <c r="C1101" s="352"/>
    </row>
    <row r="1102" ht="15">
      <c r="C1102" s="352"/>
    </row>
    <row r="1103" ht="15">
      <c r="C1103" s="352"/>
    </row>
    <row r="1104" ht="15">
      <c r="C1104" s="352"/>
    </row>
    <row r="1105" ht="15">
      <c r="C1105" s="352"/>
    </row>
    <row r="1106" ht="15">
      <c r="C1106" s="352"/>
    </row>
    <row r="1107" ht="15">
      <c r="C1107" s="352"/>
    </row>
    <row r="1108" ht="15">
      <c r="C1108" s="352"/>
    </row>
    <row r="1109" ht="15">
      <c r="C1109" s="352"/>
    </row>
    <row r="1110" ht="15">
      <c r="C1110" s="352"/>
    </row>
    <row r="1111" ht="15">
      <c r="C1111" s="352"/>
    </row>
    <row r="1112" ht="15">
      <c r="C1112" s="352"/>
    </row>
    <row r="1113" ht="15">
      <c r="C1113" s="352"/>
    </row>
    <row r="1114" ht="15">
      <c r="C1114" s="352"/>
    </row>
    <row r="1115" ht="15">
      <c r="C1115" s="352"/>
    </row>
    <row r="1116" ht="15">
      <c r="C1116" s="352"/>
    </row>
    <row r="1117" ht="15">
      <c r="C1117" s="352"/>
    </row>
    <row r="1118" ht="15">
      <c r="C1118" s="352"/>
    </row>
    <row r="1119" ht="15">
      <c r="C1119" s="352"/>
    </row>
    <row r="1120" ht="15">
      <c r="C1120" s="352"/>
    </row>
    <row r="1121" ht="15">
      <c r="C1121" s="352"/>
    </row>
    <row r="1122" ht="15">
      <c r="C1122" s="352"/>
    </row>
    <row r="1123" ht="15">
      <c r="C1123" s="352"/>
    </row>
    <row r="1124" ht="15">
      <c r="C1124" s="352"/>
    </row>
    <row r="1125" ht="15">
      <c r="C1125" s="352"/>
    </row>
    <row r="1126" ht="15">
      <c r="C1126" s="352"/>
    </row>
    <row r="1127" ht="15">
      <c r="C1127" s="352"/>
    </row>
    <row r="1128" ht="15">
      <c r="C1128" s="352"/>
    </row>
    <row r="1129" ht="15">
      <c r="C1129" s="352"/>
    </row>
    <row r="1130" ht="15">
      <c r="C1130" s="352"/>
    </row>
    <row r="1131" ht="15">
      <c r="C1131" s="352"/>
    </row>
    <row r="1132" ht="15">
      <c r="C1132" s="352"/>
    </row>
    <row r="1133" ht="15">
      <c r="C1133" s="352"/>
    </row>
    <row r="1134" ht="15">
      <c r="C1134" s="352"/>
    </row>
    <row r="1135" ht="15">
      <c r="C1135" s="352"/>
    </row>
    <row r="1136" ht="15">
      <c r="C1136" s="352"/>
    </row>
    <row r="1137" ht="15">
      <c r="C1137" s="352"/>
    </row>
    <row r="1138" ht="15">
      <c r="C1138" s="352"/>
    </row>
    <row r="1139" ht="15">
      <c r="C1139" s="352"/>
    </row>
    <row r="1140" ht="15">
      <c r="C1140" s="352"/>
    </row>
    <row r="1141" ht="15">
      <c r="C1141" s="352"/>
    </row>
    <row r="1142" ht="15">
      <c r="C1142" s="352"/>
    </row>
    <row r="1143" ht="15">
      <c r="C1143" s="352"/>
    </row>
    <row r="1144" ht="15">
      <c r="C1144" s="352"/>
    </row>
    <row r="1145" ht="15">
      <c r="C1145" s="352"/>
    </row>
    <row r="1146" ht="15">
      <c r="C1146" s="352"/>
    </row>
    <row r="1147" ht="15">
      <c r="C1147" s="352"/>
    </row>
    <row r="1148" ht="15">
      <c r="C1148" s="352"/>
    </row>
    <row r="1149" ht="15">
      <c r="C1149" s="352"/>
    </row>
    <row r="1150" ht="15">
      <c r="C1150" s="352"/>
    </row>
    <row r="1151" ht="15">
      <c r="C1151" s="352"/>
    </row>
    <row r="1152" ht="15">
      <c r="C1152" s="352"/>
    </row>
    <row r="1153" ht="15">
      <c r="C1153" s="352"/>
    </row>
    <row r="1154" ht="15">
      <c r="C1154" s="352"/>
    </row>
    <row r="1155" ht="15">
      <c r="C1155" s="352"/>
    </row>
    <row r="1156" ht="15">
      <c r="C1156" s="352"/>
    </row>
    <row r="1157" ht="15">
      <c r="C1157" s="352"/>
    </row>
    <row r="1158" ht="15">
      <c r="C1158" s="352"/>
    </row>
    <row r="1159" ht="15">
      <c r="C1159" s="352"/>
    </row>
    <row r="1160" ht="15">
      <c r="C1160" s="352"/>
    </row>
    <row r="1161" ht="15">
      <c r="C1161" s="352"/>
    </row>
    <row r="1162" ht="15">
      <c r="C1162" s="352"/>
    </row>
    <row r="1163" ht="15">
      <c r="C1163" s="352"/>
    </row>
    <row r="1164" ht="15">
      <c r="C1164" s="352"/>
    </row>
    <row r="1165" ht="15">
      <c r="C1165" s="352"/>
    </row>
    <row r="1166" ht="15">
      <c r="C1166" s="352"/>
    </row>
    <row r="1167" ht="15">
      <c r="C1167" s="352"/>
    </row>
    <row r="1168" ht="15">
      <c r="C1168" s="352"/>
    </row>
    <row r="1169" ht="15">
      <c r="C1169" s="352"/>
    </row>
    <row r="1170" ht="15">
      <c r="C1170" s="352"/>
    </row>
    <row r="1171" ht="15">
      <c r="C1171" s="352"/>
    </row>
    <row r="1172" ht="15">
      <c r="C1172" s="352"/>
    </row>
    <row r="1173" ht="15">
      <c r="C1173" s="352"/>
    </row>
    <row r="1174" ht="15">
      <c r="C1174" s="352"/>
    </row>
    <row r="1175" ht="15">
      <c r="C1175" s="352"/>
    </row>
    <row r="1176" ht="15">
      <c r="C1176" s="352"/>
    </row>
    <row r="1177" ht="15">
      <c r="C1177" s="352"/>
    </row>
    <row r="1178" ht="15">
      <c r="C1178" s="352"/>
    </row>
    <row r="1179" ht="15">
      <c r="C1179" s="352"/>
    </row>
    <row r="1180" ht="15">
      <c r="C1180" s="352"/>
    </row>
    <row r="1181" ht="15">
      <c r="C1181" s="352"/>
    </row>
    <row r="1182" ht="15">
      <c r="C1182" s="352"/>
    </row>
    <row r="1183" ht="15">
      <c r="C1183" s="352"/>
    </row>
    <row r="1184" ht="15">
      <c r="C1184" s="352"/>
    </row>
    <row r="1185" ht="15">
      <c r="C1185" s="352"/>
    </row>
    <row r="1186" ht="15">
      <c r="C1186" s="352"/>
    </row>
    <row r="1187" ht="15">
      <c r="C1187" s="352"/>
    </row>
    <row r="1188" ht="15">
      <c r="C1188" s="352"/>
    </row>
    <row r="1189" ht="15">
      <c r="C1189" s="352"/>
    </row>
    <row r="1190" ht="15">
      <c r="C1190" s="352"/>
    </row>
    <row r="1191" ht="15">
      <c r="C1191" s="352"/>
    </row>
    <row r="1192" ht="15">
      <c r="C1192" s="352"/>
    </row>
    <row r="1193" ht="15">
      <c r="C1193" s="352"/>
    </row>
    <row r="1194" ht="15">
      <c r="C1194" s="352"/>
    </row>
    <row r="1195" ht="15">
      <c r="C1195" s="352"/>
    </row>
    <row r="1196" ht="15">
      <c r="C1196" s="352"/>
    </row>
    <row r="1197" ht="15">
      <c r="C1197" s="352"/>
    </row>
    <row r="1198" ht="15">
      <c r="C1198" s="352"/>
    </row>
    <row r="1199" ht="15">
      <c r="C1199" s="352"/>
    </row>
    <row r="1200" ht="15">
      <c r="C1200" s="352"/>
    </row>
    <row r="1201" ht="15">
      <c r="C1201" s="352"/>
    </row>
    <row r="1202" ht="15">
      <c r="C1202" s="352"/>
    </row>
    <row r="1203" ht="15">
      <c r="C1203" s="352"/>
    </row>
    <row r="1204" ht="15">
      <c r="C1204" s="352"/>
    </row>
    <row r="1205" ht="15">
      <c r="C1205" s="352"/>
    </row>
    <row r="1206" ht="15">
      <c r="C1206" s="352"/>
    </row>
    <row r="1207" ht="15">
      <c r="C1207" s="352"/>
    </row>
    <row r="1208" ht="15">
      <c r="C1208" s="352"/>
    </row>
    <row r="1209" ht="15">
      <c r="C1209" s="352"/>
    </row>
    <row r="1210" ht="15">
      <c r="C1210" s="352"/>
    </row>
    <row r="1211" ht="15">
      <c r="C1211" s="352"/>
    </row>
    <row r="1212" ht="15">
      <c r="C1212" s="352"/>
    </row>
    <row r="1213" ht="15">
      <c r="C1213" s="352"/>
    </row>
    <row r="1214" ht="15">
      <c r="C1214" s="352"/>
    </row>
    <row r="1215" ht="15">
      <c r="C1215" s="352"/>
    </row>
    <row r="1216" ht="15">
      <c r="C1216" s="352"/>
    </row>
    <row r="1217" ht="15">
      <c r="C1217" s="352"/>
    </row>
    <row r="1218" ht="15">
      <c r="C1218" s="352"/>
    </row>
    <row r="1219" ht="15">
      <c r="C1219" s="352"/>
    </row>
    <row r="1220" ht="15">
      <c r="C1220" s="352"/>
    </row>
    <row r="1221" ht="15">
      <c r="C1221" s="352"/>
    </row>
    <row r="1222" ht="15">
      <c r="C1222" s="352"/>
    </row>
    <row r="1223" ht="15">
      <c r="C1223" s="352"/>
    </row>
    <row r="1224" ht="15">
      <c r="C1224" s="352"/>
    </row>
    <row r="1225" ht="15">
      <c r="C1225" s="352"/>
    </row>
    <row r="1226" ht="15">
      <c r="C1226" s="352"/>
    </row>
    <row r="1227" ht="15">
      <c r="C1227" s="352"/>
    </row>
    <row r="1228" ht="15">
      <c r="C1228" s="352"/>
    </row>
    <row r="1229" ht="15">
      <c r="C1229" s="352"/>
    </row>
    <row r="1230" ht="15">
      <c r="C1230" s="352"/>
    </row>
    <row r="1231" ht="15">
      <c r="C1231" s="352"/>
    </row>
    <row r="1232" ht="15">
      <c r="C1232" s="352"/>
    </row>
    <row r="1233" ht="15">
      <c r="C1233" s="352"/>
    </row>
    <row r="1234" ht="15">
      <c r="C1234" s="352"/>
    </row>
    <row r="1235" ht="15">
      <c r="C1235" s="352"/>
    </row>
    <row r="1236" ht="15">
      <c r="C1236" s="352"/>
    </row>
    <row r="1237" ht="15">
      <c r="C1237" s="352"/>
    </row>
    <row r="1238" ht="15">
      <c r="C1238" s="352"/>
    </row>
    <row r="1239" ht="15">
      <c r="C1239" s="352"/>
    </row>
    <row r="1240" ht="15">
      <c r="C1240" s="352"/>
    </row>
    <row r="1241" ht="15">
      <c r="C1241" s="352"/>
    </row>
    <row r="1242" ht="15">
      <c r="C1242" s="352"/>
    </row>
    <row r="1243" ht="15">
      <c r="C1243" s="352"/>
    </row>
    <row r="1244" ht="15">
      <c r="C1244" s="352"/>
    </row>
    <row r="1245" ht="15">
      <c r="C1245" s="352"/>
    </row>
    <row r="1246" ht="15">
      <c r="C1246" s="352"/>
    </row>
    <row r="1247" ht="15">
      <c r="C1247" s="352"/>
    </row>
    <row r="1248" ht="15">
      <c r="C1248" s="352"/>
    </row>
    <row r="1249" ht="15">
      <c r="C1249" s="352"/>
    </row>
    <row r="1250" ht="15">
      <c r="C1250" s="352"/>
    </row>
    <row r="1251" ht="15">
      <c r="C1251" s="352"/>
    </row>
    <row r="1252" ht="15">
      <c r="C1252" s="352"/>
    </row>
    <row r="1253" ht="15">
      <c r="C1253" s="352"/>
    </row>
    <row r="1254" ht="15">
      <c r="C1254" s="352"/>
    </row>
    <row r="1255" ht="15">
      <c r="C1255" s="352"/>
    </row>
    <row r="1256" ht="15">
      <c r="C1256" s="352"/>
    </row>
    <row r="1257" ht="15">
      <c r="C1257" s="352"/>
    </row>
    <row r="1258" ht="15">
      <c r="C1258" s="352"/>
    </row>
    <row r="1259" ht="15">
      <c r="C1259" s="352"/>
    </row>
    <row r="1260" ht="15">
      <c r="C1260" s="352"/>
    </row>
    <row r="1261" ht="15">
      <c r="C1261" s="352"/>
    </row>
    <row r="1262" ht="15">
      <c r="C1262" s="352"/>
    </row>
    <row r="1263" ht="15">
      <c r="C1263" s="352"/>
    </row>
    <row r="1264" ht="15">
      <c r="C1264" s="352"/>
    </row>
    <row r="1265" ht="15">
      <c r="C1265" s="352"/>
    </row>
    <row r="1266" ht="15">
      <c r="C1266" s="352"/>
    </row>
    <row r="1267" ht="15">
      <c r="C1267" s="352"/>
    </row>
    <row r="1268" ht="15">
      <c r="C1268" s="352"/>
    </row>
    <row r="1269" ht="15">
      <c r="C1269" s="352"/>
    </row>
    <row r="1270" ht="15">
      <c r="C1270" s="352"/>
    </row>
    <row r="1271" ht="15">
      <c r="C1271" s="352"/>
    </row>
    <row r="1272" ht="15">
      <c r="C1272" s="352"/>
    </row>
    <row r="1273" ht="15">
      <c r="C1273" s="352"/>
    </row>
    <row r="1274" ht="15">
      <c r="C1274" s="352"/>
    </row>
    <row r="1275" ht="15">
      <c r="C1275" s="352"/>
    </row>
    <row r="1276" ht="15">
      <c r="C1276" s="352"/>
    </row>
    <row r="1277" ht="15">
      <c r="C1277" s="352"/>
    </row>
    <row r="1278" ht="15">
      <c r="C1278" s="352"/>
    </row>
    <row r="1279" ht="15">
      <c r="C1279" s="352"/>
    </row>
    <row r="1280" ht="15">
      <c r="C1280" s="352"/>
    </row>
    <row r="1281" ht="15">
      <c r="C1281" s="352"/>
    </row>
    <row r="1282" ht="15">
      <c r="C1282" s="352"/>
    </row>
    <row r="1283" ht="15">
      <c r="C1283" s="352"/>
    </row>
    <row r="1284" ht="15">
      <c r="C1284" s="352"/>
    </row>
    <row r="1285" ht="15">
      <c r="C1285" s="352"/>
    </row>
    <row r="1286" ht="15">
      <c r="C1286" s="352"/>
    </row>
    <row r="1287" ht="15">
      <c r="C1287" s="352"/>
    </row>
    <row r="1288" ht="15">
      <c r="C1288" s="352"/>
    </row>
    <row r="1289" ht="15">
      <c r="C1289" s="352"/>
    </row>
    <row r="1290" ht="15">
      <c r="C1290" s="352"/>
    </row>
    <row r="1291" ht="15">
      <c r="C1291" s="352"/>
    </row>
    <row r="1292" ht="15">
      <c r="C1292" s="352"/>
    </row>
    <row r="1293" ht="15">
      <c r="C1293" s="352"/>
    </row>
    <row r="1294" ht="15">
      <c r="C1294" s="352"/>
    </row>
    <row r="1295" ht="15">
      <c r="C1295" s="352"/>
    </row>
    <row r="1296" ht="15">
      <c r="C1296" s="352"/>
    </row>
    <row r="1297" ht="15">
      <c r="C1297" s="352"/>
    </row>
    <row r="1298" ht="15">
      <c r="C1298" s="352"/>
    </row>
    <row r="1299" ht="15">
      <c r="C1299" s="352"/>
    </row>
    <row r="1300" ht="15">
      <c r="C1300" s="352"/>
    </row>
    <row r="1301" ht="15">
      <c r="C1301" s="352"/>
    </row>
    <row r="1302" ht="15">
      <c r="C1302" s="352"/>
    </row>
    <row r="1303" ht="15">
      <c r="C1303" s="352"/>
    </row>
    <row r="1304" ht="15">
      <c r="C1304" s="352"/>
    </row>
    <row r="1305" ht="15">
      <c r="C1305" s="352"/>
    </row>
    <row r="1306" ht="15">
      <c r="C1306" s="352"/>
    </row>
    <row r="1307" ht="15">
      <c r="C1307" s="352"/>
    </row>
    <row r="1308" ht="15">
      <c r="C1308" s="352"/>
    </row>
    <row r="1309" ht="15">
      <c r="C1309" s="352"/>
    </row>
    <row r="1310" ht="15">
      <c r="C1310" s="352"/>
    </row>
    <row r="1311" ht="15">
      <c r="C1311" s="352"/>
    </row>
    <row r="1312" ht="15">
      <c r="C1312" s="352"/>
    </row>
    <row r="1313" ht="15">
      <c r="C1313" s="352"/>
    </row>
    <row r="1314" ht="15">
      <c r="C1314" s="352"/>
    </row>
    <row r="1315" ht="15">
      <c r="C1315" s="352"/>
    </row>
    <row r="1316" ht="15">
      <c r="C1316" s="352"/>
    </row>
    <row r="1317" ht="15">
      <c r="C1317" s="352"/>
    </row>
    <row r="1318" ht="15">
      <c r="C1318" s="352"/>
    </row>
    <row r="1319" ht="15">
      <c r="C1319" s="352"/>
    </row>
    <row r="1320" ht="15">
      <c r="C1320" s="352"/>
    </row>
    <row r="1321" ht="15">
      <c r="C1321" s="352"/>
    </row>
    <row r="1322" ht="15">
      <c r="C1322" s="352"/>
    </row>
    <row r="1323" ht="15">
      <c r="C1323" s="352"/>
    </row>
    <row r="1324" ht="15">
      <c r="C1324" s="352"/>
    </row>
    <row r="1325" ht="15">
      <c r="C1325" s="352"/>
    </row>
    <row r="1326" ht="15">
      <c r="C1326" s="352"/>
    </row>
    <row r="1327" ht="15">
      <c r="C1327" s="352"/>
    </row>
    <row r="1328" ht="15">
      <c r="C1328" s="352"/>
    </row>
    <row r="1329" ht="15">
      <c r="C1329" s="352"/>
    </row>
    <row r="1330" ht="15">
      <c r="C1330" s="352"/>
    </row>
    <row r="1331" ht="15">
      <c r="C1331" s="352"/>
    </row>
    <row r="1332" ht="15">
      <c r="C1332" s="352"/>
    </row>
    <row r="1333" ht="15">
      <c r="C1333" s="352"/>
    </row>
    <row r="1334" ht="15">
      <c r="C1334" s="352"/>
    </row>
    <row r="1335" ht="15">
      <c r="C1335" s="352"/>
    </row>
    <row r="1336" ht="15">
      <c r="C1336" s="352"/>
    </row>
    <row r="1337" ht="15">
      <c r="C1337" s="352"/>
    </row>
    <row r="1338" ht="15">
      <c r="C1338" s="352"/>
    </row>
    <row r="1339" ht="15">
      <c r="C1339" s="352"/>
    </row>
    <row r="1340" ht="15">
      <c r="C1340" s="352"/>
    </row>
    <row r="1341" ht="15">
      <c r="C1341" s="352"/>
    </row>
    <row r="1342" ht="15">
      <c r="C1342" s="352"/>
    </row>
    <row r="1343" ht="15">
      <c r="C1343" s="352"/>
    </row>
    <row r="1344" ht="15">
      <c r="C1344" s="352"/>
    </row>
    <row r="1345" ht="15">
      <c r="C1345" s="352"/>
    </row>
    <row r="1346" ht="15">
      <c r="C1346" s="352"/>
    </row>
    <row r="1347" ht="15">
      <c r="C1347" s="352"/>
    </row>
    <row r="1348" ht="15">
      <c r="C1348" s="352"/>
    </row>
    <row r="1349" ht="15">
      <c r="C1349" s="352"/>
    </row>
    <row r="1350" ht="15">
      <c r="C1350" s="352"/>
    </row>
    <row r="1351" ht="15">
      <c r="C1351" s="352"/>
    </row>
    <row r="1352" ht="15">
      <c r="C1352" s="352"/>
    </row>
    <row r="1353" ht="15">
      <c r="C1353" s="352"/>
    </row>
    <row r="1354" ht="15">
      <c r="C1354" s="352"/>
    </row>
    <row r="1355" ht="15">
      <c r="C1355" s="352"/>
    </row>
    <row r="1356" ht="15">
      <c r="C1356" s="352"/>
    </row>
    <row r="1357" ht="15">
      <c r="C1357" s="352"/>
    </row>
    <row r="1358" ht="15">
      <c r="C1358" s="352"/>
    </row>
    <row r="1359" ht="15">
      <c r="C1359" s="352"/>
    </row>
    <row r="1360" ht="15">
      <c r="C1360" s="352"/>
    </row>
    <row r="1361" ht="15">
      <c r="C1361" s="352"/>
    </row>
    <row r="1362" ht="15">
      <c r="C1362" s="352"/>
    </row>
    <row r="1363" ht="15">
      <c r="C1363" s="352"/>
    </row>
    <row r="1364" ht="15">
      <c r="C1364" s="352"/>
    </row>
    <row r="1365" ht="15">
      <c r="C1365" s="352"/>
    </row>
    <row r="1366" ht="15">
      <c r="C1366" s="352"/>
    </row>
    <row r="1367" ht="15">
      <c r="C1367" s="352"/>
    </row>
    <row r="1368" ht="15">
      <c r="C1368" s="352"/>
    </row>
    <row r="1369" ht="15">
      <c r="C1369" s="352"/>
    </row>
    <row r="1370" ht="15">
      <c r="C1370" s="352"/>
    </row>
    <row r="1371" ht="15">
      <c r="C1371" s="352"/>
    </row>
    <row r="1372" ht="15">
      <c r="C1372" s="352"/>
    </row>
    <row r="1373" ht="15">
      <c r="C1373" s="352"/>
    </row>
    <row r="1374" ht="15">
      <c r="C1374" s="352"/>
    </row>
    <row r="1375" ht="15">
      <c r="C1375" s="352"/>
    </row>
    <row r="1376" ht="15">
      <c r="C1376" s="352"/>
    </row>
    <row r="1377" ht="15">
      <c r="C1377" s="352"/>
    </row>
    <row r="1378" ht="15">
      <c r="C1378" s="352"/>
    </row>
    <row r="1379" ht="15">
      <c r="C1379" s="352"/>
    </row>
    <row r="1380" ht="15">
      <c r="C1380" s="352"/>
    </row>
    <row r="1381" ht="15">
      <c r="C1381" s="352"/>
    </row>
    <row r="1382" ht="15">
      <c r="C1382" s="352"/>
    </row>
    <row r="1383" ht="15">
      <c r="C1383" s="352"/>
    </row>
    <row r="1384" ht="15">
      <c r="C1384" s="352"/>
    </row>
    <row r="1385" ht="15">
      <c r="C1385" s="352"/>
    </row>
    <row r="1386" ht="15">
      <c r="C1386" s="352"/>
    </row>
    <row r="1387" ht="15">
      <c r="C1387" s="352"/>
    </row>
    <row r="1388" ht="15">
      <c r="C1388" s="352"/>
    </row>
    <row r="1389" ht="15">
      <c r="C1389" s="352"/>
    </row>
    <row r="1390" ht="15">
      <c r="C1390" s="352"/>
    </row>
    <row r="1391" ht="15">
      <c r="C1391" s="352"/>
    </row>
    <row r="1392" ht="15">
      <c r="C1392" s="352"/>
    </row>
    <row r="1393" ht="15">
      <c r="C1393" s="352"/>
    </row>
    <row r="1394" ht="15">
      <c r="C1394" s="352"/>
    </row>
    <row r="1395" ht="15">
      <c r="C1395" s="352"/>
    </row>
    <row r="1396" ht="15">
      <c r="C1396" s="352"/>
    </row>
    <row r="1397" ht="15">
      <c r="C1397" s="352"/>
    </row>
    <row r="1398" ht="15">
      <c r="C1398" s="352"/>
    </row>
    <row r="1399" ht="15">
      <c r="C1399" s="352"/>
    </row>
    <row r="1400" ht="15">
      <c r="C1400" s="352"/>
    </row>
    <row r="1401" ht="15">
      <c r="C1401" s="352"/>
    </row>
    <row r="1402" ht="15">
      <c r="C1402" s="352"/>
    </row>
    <row r="1403" ht="15">
      <c r="C1403" s="352"/>
    </row>
    <row r="1404" ht="15">
      <c r="C1404" s="352"/>
    </row>
    <row r="1405" ht="15">
      <c r="C1405" s="352"/>
    </row>
    <row r="1406" ht="15">
      <c r="C1406" s="352"/>
    </row>
    <row r="1407" ht="15">
      <c r="C1407" s="352"/>
    </row>
    <row r="1408" ht="15">
      <c r="C1408" s="352"/>
    </row>
    <row r="1409" ht="15">
      <c r="C1409" s="352"/>
    </row>
    <row r="1410" ht="15">
      <c r="C1410" s="352"/>
    </row>
    <row r="1411" ht="15">
      <c r="C1411" s="352"/>
    </row>
    <row r="1412" ht="15">
      <c r="C1412" s="352"/>
    </row>
    <row r="1413" ht="15">
      <c r="C1413" s="352"/>
    </row>
    <row r="1414" ht="15">
      <c r="C1414" s="352"/>
    </row>
    <row r="1415" ht="15">
      <c r="C1415" s="352"/>
    </row>
    <row r="1416" ht="15">
      <c r="C1416" s="352"/>
    </row>
    <row r="1417" ht="15">
      <c r="C1417" s="352"/>
    </row>
    <row r="1418" ht="15">
      <c r="C1418" s="352"/>
    </row>
    <row r="1419" ht="15">
      <c r="C1419" s="352"/>
    </row>
    <row r="1420" ht="15">
      <c r="C1420" s="352"/>
    </row>
    <row r="1421" ht="15">
      <c r="C1421" s="352"/>
    </row>
    <row r="1422" ht="15">
      <c r="C1422" s="352"/>
    </row>
    <row r="1423" ht="15">
      <c r="C1423" s="352"/>
    </row>
    <row r="1424" ht="15">
      <c r="C1424" s="352"/>
    </row>
    <row r="1425" ht="15">
      <c r="C1425" s="352"/>
    </row>
    <row r="1426" ht="15">
      <c r="C1426" s="352"/>
    </row>
    <row r="1427" ht="15">
      <c r="C1427" s="352"/>
    </row>
    <row r="1428" ht="15">
      <c r="C1428" s="352"/>
    </row>
    <row r="1429" ht="15">
      <c r="C1429" s="352"/>
    </row>
    <row r="1430" ht="15">
      <c r="C1430" s="352"/>
    </row>
    <row r="1431" ht="15">
      <c r="C1431" s="352"/>
    </row>
    <row r="1432" ht="15">
      <c r="C1432" s="352"/>
    </row>
    <row r="1433" ht="15">
      <c r="C1433" s="352"/>
    </row>
    <row r="1434" ht="15">
      <c r="C1434" s="352"/>
    </row>
    <row r="1435" ht="15">
      <c r="C1435" s="352"/>
    </row>
    <row r="1436" ht="15">
      <c r="C1436" s="352"/>
    </row>
    <row r="1437" ht="15">
      <c r="C1437" s="352"/>
    </row>
    <row r="1438" ht="15">
      <c r="C1438" s="352"/>
    </row>
    <row r="1439" ht="15">
      <c r="C1439" s="352"/>
    </row>
    <row r="1440" ht="15">
      <c r="C1440" s="352"/>
    </row>
    <row r="1441" ht="15">
      <c r="C1441" s="352"/>
    </row>
    <row r="1442" ht="15">
      <c r="C1442" s="352"/>
    </row>
    <row r="1443" ht="15">
      <c r="C1443" s="352"/>
    </row>
    <row r="1444" ht="15">
      <c r="C1444" s="352"/>
    </row>
    <row r="1445" ht="15">
      <c r="C1445" s="352"/>
    </row>
    <row r="1446" ht="15">
      <c r="C1446" s="352"/>
    </row>
    <row r="1447" ht="15">
      <c r="C1447" s="352"/>
    </row>
    <row r="1448" ht="15">
      <c r="C1448" s="352"/>
    </row>
    <row r="1449" ht="15">
      <c r="C1449" s="352"/>
    </row>
    <row r="1450" ht="15">
      <c r="C1450" s="352"/>
    </row>
    <row r="1451" ht="15">
      <c r="C1451" s="352"/>
    </row>
    <row r="1452" ht="15">
      <c r="C1452" s="352"/>
    </row>
    <row r="1453" ht="15">
      <c r="C1453" s="352"/>
    </row>
    <row r="1454" ht="15">
      <c r="C1454" s="352"/>
    </row>
    <row r="1455" ht="15">
      <c r="C1455" s="352"/>
    </row>
    <row r="1456" ht="15">
      <c r="C1456" s="352"/>
    </row>
    <row r="1457" ht="15">
      <c r="C1457" s="352"/>
    </row>
    <row r="1458" ht="15">
      <c r="C1458" s="352"/>
    </row>
    <row r="1459" ht="15">
      <c r="C1459" s="352"/>
    </row>
    <row r="1460" ht="15">
      <c r="C1460" s="352"/>
    </row>
    <row r="1461" ht="15">
      <c r="C1461" s="352"/>
    </row>
    <row r="1462" ht="15">
      <c r="C1462" s="352"/>
    </row>
    <row r="1463" ht="15">
      <c r="C1463" s="352"/>
    </row>
    <row r="1464" ht="15">
      <c r="C1464" s="352"/>
    </row>
    <row r="1465" ht="15">
      <c r="C1465" s="352"/>
    </row>
    <row r="1466" ht="15">
      <c r="C1466" s="352"/>
    </row>
    <row r="1467" ht="15">
      <c r="C1467" s="352"/>
    </row>
    <row r="1468" ht="15">
      <c r="C1468" s="352"/>
    </row>
    <row r="1469" ht="15">
      <c r="C1469" s="352"/>
    </row>
    <row r="1470" ht="15">
      <c r="C1470" s="352"/>
    </row>
    <row r="1471" ht="15">
      <c r="C1471" s="352"/>
    </row>
    <row r="1472" ht="15">
      <c r="C1472" s="352"/>
    </row>
    <row r="1473" ht="15">
      <c r="C1473" s="352"/>
    </row>
    <row r="1474" ht="15">
      <c r="C1474" s="352"/>
    </row>
    <row r="1475" ht="15">
      <c r="C1475" s="352"/>
    </row>
    <row r="1476" ht="15">
      <c r="C1476" s="352"/>
    </row>
    <row r="1477" ht="15">
      <c r="C1477" s="352"/>
    </row>
    <row r="1478" ht="15">
      <c r="C1478" s="352"/>
    </row>
    <row r="1479" ht="15">
      <c r="C1479" s="352"/>
    </row>
    <row r="1480" ht="15">
      <c r="C1480" s="352"/>
    </row>
    <row r="1481" ht="15">
      <c r="C1481" s="352"/>
    </row>
    <row r="1482" ht="15">
      <c r="C1482" s="352"/>
    </row>
    <row r="1483" ht="15">
      <c r="C1483" s="352"/>
    </row>
    <row r="1484" ht="15">
      <c r="C1484" s="352"/>
    </row>
    <row r="1485" ht="15">
      <c r="C1485" s="352"/>
    </row>
    <row r="1486" ht="15">
      <c r="C1486" s="352"/>
    </row>
    <row r="1487" ht="15">
      <c r="C1487" s="352"/>
    </row>
    <row r="1488" ht="15">
      <c r="C1488" s="352"/>
    </row>
    <row r="1489" ht="15">
      <c r="C1489" s="352"/>
    </row>
    <row r="1490" ht="15">
      <c r="C1490" s="352"/>
    </row>
    <row r="1491" ht="15">
      <c r="C1491" s="352"/>
    </row>
    <row r="1492" ht="15">
      <c r="C1492" s="352"/>
    </row>
    <row r="1493" ht="15">
      <c r="C1493" s="352"/>
    </row>
    <row r="1494" ht="15">
      <c r="C1494" s="352"/>
    </row>
    <row r="1495" ht="15">
      <c r="C1495" s="352"/>
    </row>
    <row r="1496" ht="15">
      <c r="C1496" s="352"/>
    </row>
    <row r="1497" ht="15">
      <c r="C1497" s="352"/>
    </row>
    <row r="1498" ht="15">
      <c r="C1498" s="352"/>
    </row>
    <row r="1499" ht="15">
      <c r="C1499" s="352"/>
    </row>
    <row r="1500" ht="15">
      <c r="C1500" s="352"/>
    </row>
    <row r="1501" ht="15">
      <c r="C1501" s="352"/>
    </row>
    <row r="1502" ht="15">
      <c r="C1502" s="352"/>
    </row>
    <row r="1503" ht="15">
      <c r="C1503" s="352"/>
    </row>
    <row r="1504" ht="15">
      <c r="C1504" s="352"/>
    </row>
    <row r="1505" ht="15">
      <c r="C1505" s="352"/>
    </row>
    <row r="1506" ht="15">
      <c r="C1506" s="352"/>
    </row>
    <row r="1507" ht="15">
      <c r="C1507" s="352"/>
    </row>
    <row r="1508" ht="15">
      <c r="C1508" s="352"/>
    </row>
    <row r="1509" ht="15">
      <c r="C1509" s="352"/>
    </row>
    <row r="1510" ht="15">
      <c r="C1510" s="352"/>
    </row>
    <row r="1511" ht="15">
      <c r="C1511" s="352"/>
    </row>
    <row r="1512" ht="15">
      <c r="C1512" s="352"/>
    </row>
    <row r="1513" ht="15">
      <c r="C1513" s="352"/>
    </row>
    <row r="1514" ht="15">
      <c r="C1514" s="352"/>
    </row>
    <row r="1515" ht="15">
      <c r="C1515" s="352"/>
    </row>
    <row r="1516" ht="15">
      <c r="C1516" s="352"/>
    </row>
    <row r="1517" ht="15">
      <c r="C1517" s="352"/>
    </row>
    <row r="1518" ht="15">
      <c r="C1518" s="352"/>
    </row>
    <row r="1519" ht="15">
      <c r="C1519" s="352"/>
    </row>
    <row r="1520" ht="15">
      <c r="C1520" s="352"/>
    </row>
    <row r="1521" ht="15">
      <c r="C1521" s="352"/>
    </row>
    <row r="1522" ht="15">
      <c r="C1522" s="352"/>
    </row>
    <row r="1523" ht="15">
      <c r="C1523" s="352"/>
    </row>
    <row r="1524" ht="15">
      <c r="C1524" s="352"/>
    </row>
    <row r="1525" ht="15">
      <c r="C1525" s="352"/>
    </row>
    <row r="1526" ht="15">
      <c r="C1526" s="352"/>
    </row>
    <row r="1527" ht="15">
      <c r="C1527" s="352"/>
    </row>
    <row r="1528" ht="15">
      <c r="C1528" s="352"/>
    </row>
    <row r="1529" ht="15">
      <c r="C1529" s="352"/>
    </row>
    <row r="1530" ht="15">
      <c r="C1530" s="352"/>
    </row>
    <row r="1531" ht="15">
      <c r="C1531" s="352"/>
    </row>
    <row r="1532" ht="15">
      <c r="C1532" s="352"/>
    </row>
    <row r="1533" ht="15">
      <c r="C1533" s="352"/>
    </row>
    <row r="1534" ht="15">
      <c r="C1534" s="352"/>
    </row>
    <row r="1535" ht="15">
      <c r="C1535" s="352"/>
    </row>
    <row r="1536" ht="15">
      <c r="C1536" s="352"/>
    </row>
    <row r="1537" ht="15">
      <c r="C1537" s="352"/>
    </row>
    <row r="1538" ht="15">
      <c r="C1538" s="352"/>
    </row>
    <row r="1539" ht="15">
      <c r="C1539" s="352"/>
    </row>
    <row r="1540" ht="15">
      <c r="C1540" s="352"/>
    </row>
    <row r="1541" ht="15">
      <c r="C1541" s="352"/>
    </row>
    <row r="1542" ht="15">
      <c r="C1542" s="352"/>
    </row>
    <row r="1543" ht="15">
      <c r="C1543" s="352"/>
    </row>
    <row r="1544" ht="15">
      <c r="C1544" s="352"/>
    </row>
    <row r="1545" ht="15">
      <c r="C1545" s="352"/>
    </row>
    <row r="1546" ht="15">
      <c r="C1546" s="352"/>
    </row>
    <row r="1547" ht="15">
      <c r="C1547" s="352"/>
    </row>
    <row r="1548" ht="15">
      <c r="C1548" s="352"/>
    </row>
    <row r="1549" ht="15">
      <c r="C1549" s="352"/>
    </row>
    <row r="1550" ht="15">
      <c r="C1550" s="352"/>
    </row>
    <row r="1551" ht="15">
      <c r="C1551" s="352"/>
    </row>
    <row r="1552" ht="15">
      <c r="C1552" s="352"/>
    </row>
    <row r="1553" ht="15">
      <c r="C1553" s="352"/>
    </row>
    <row r="1554" ht="15">
      <c r="C1554" s="352"/>
    </row>
    <row r="1555" ht="15">
      <c r="C1555" s="352"/>
    </row>
    <row r="1556" ht="15">
      <c r="C1556" s="352"/>
    </row>
    <row r="1557" ht="15">
      <c r="C1557" s="352"/>
    </row>
    <row r="1558" ht="15">
      <c r="C1558" s="352"/>
    </row>
    <row r="1559" ht="15">
      <c r="C1559" s="352"/>
    </row>
    <row r="1560" ht="15">
      <c r="C1560" s="352"/>
    </row>
    <row r="1561" ht="15">
      <c r="C1561" s="352"/>
    </row>
    <row r="1562" ht="15">
      <c r="C1562" s="352"/>
    </row>
    <row r="1563" ht="15">
      <c r="C1563" s="352"/>
    </row>
    <row r="1564" ht="15">
      <c r="C1564" s="352"/>
    </row>
    <row r="1565" ht="15">
      <c r="C1565" s="352"/>
    </row>
    <row r="1566" ht="15">
      <c r="C1566" s="352"/>
    </row>
    <row r="1567" ht="15">
      <c r="C1567" s="352"/>
    </row>
    <row r="1568" ht="15">
      <c r="C1568" s="352"/>
    </row>
    <row r="1569" ht="15">
      <c r="C1569" s="352"/>
    </row>
    <row r="1570" ht="15">
      <c r="C1570" s="352"/>
    </row>
    <row r="1571" ht="15">
      <c r="C1571" s="352"/>
    </row>
    <row r="1572" ht="15">
      <c r="C1572" s="352"/>
    </row>
    <row r="1573" ht="15">
      <c r="C1573" s="352"/>
    </row>
    <row r="1574" ht="15">
      <c r="C1574" s="352"/>
    </row>
    <row r="1575" ht="15">
      <c r="C1575" s="352"/>
    </row>
    <row r="1576" ht="15">
      <c r="C1576" s="352"/>
    </row>
    <row r="1577" ht="15">
      <c r="C1577" s="352"/>
    </row>
    <row r="1578" ht="15">
      <c r="C1578" s="352"/>
    </row>
    <row r="1579" ht="15">
      <c r="C1579" s="352"/>
    </row>
    <row r="1580" ht="15">
      <c r="C1580" s="352"/>
    </row>
    <row r="1581" ht="15">
      <c r="C1581" s="352"/>
    </row>
    <row r="1582" ht="15">
      <c r="C1582" s="352"/>
    </row>
    <row r="1583" ht="15">
      <c r="C1583" s="352"/>
    </row>
    <row r="1584" ht="15">
      <c r="C1584" s="352"/>
    </row>
    <row r="1585" ht="15">
      <c r="C1585" s="352"/>
    </row>
    <row r="1586" ht="15">
      <c r="C1586" s="352"/>
    </row>
    <row r="1587" ht="15">
      <c r="C1587" s="352"/>
    </row>
    <row r="1588" ht="15">
      <c r="C1588" s="352"/>
    </row>
    <row r="1589" ht="15">
      <c r="C1589" s="352"/>
    </row>
    <row r="1590" ht="15">
      <c r="C1590" s="352"/>
    </row>
    <row r="1591" ht="15">
      <c r="C1591" s="352"/>
    </row>
    <row r="1592" ht="15">
      <c r="C1592" s="352"/>
    </row>
    <row r="1593" ht="15">
      <c r="C1593" s="352"/>
    </row>
    <row r="1594" ht="15">
      <c r="C1594" s="352"/>
    </row>
    <row r="1595" ht="15">
      <c r="C1595" s="352"/>
    </row>
    <row r="1596" ht="15">
      <c r="C1596" s="352"/>
    </row>
    <row r="1597" ht="15">
      <c r="C1597" s="352"/>
    </row>
    <row r="1598" ht="15">
      <c r="C1598" s="352"/>
    </row>
    <row r="1599" ht="15">
      <c r="C1599" s="352"/>
    </row>
    <row r="1600" ht="15">
      <c r="C1600" s="352"/>
    </row>
    <row r="1601" ht="15">
      <c r="C1601" s="352"/>
    </row>
    <row r="1602" ht="15">
      <c r="C1602" s="352"/>
    </row>
    <row r="1603" ht="15">
      <c r="C1603" s="352"/>
    </row>
    <row r="1604" ht="15">
      <c r="C1604" s="352"/>
    </row>
    <row r="1605" ht="15">
      <c r="C1605" s="352"/>
    </row>
    <row r="1606" ht="15">
      <c r="C1606" s="352"/>
    </row>
    <row r="1607" ht="15">
      <c r="C1607" s="352"/>
    </row>
    <row r="1608" ht="15">
      <c r="C1608" s="352"/>
    </row>
    <row r="1609" ht="15">
      <c r="C1609" s="352"/>
    </row>
    <row r="1610" ht="15">
      <c r="C1610" s="352"/>
    </row>
    <row r="1611" ht="15">
      <c r="C1611" s="352"/>
    </row>
    <row r="1612" ht="15">
      <c r="C1612" s="352"/>
    </row>
    <row r="1613" ht="15">
      <c r="C1613" s="352"/>
    </row>
    <row r="1614" ht="15">
      <c r="C1614" s="352"/>
    </row>
    <row r="1615" ht="15">
      <c r="C1615" s="352"/>
    </row>
    <row r="1616" ht="15">
      <c r="C1616" s="352"/>
    </row>
    <row r="1617" ht="15">
      <c r="C1617" s="352"/>
    </row>
    <row r="1618" ht="15">
      <c r="C1618" s="352"/>
    </row>
    <row r="1619" ht="15">
      <c r="C1619" s="352"/>
    </row>
    <row r="1620" ht="15">
      <c r="C1620" s="352"/>
    </row>
    <row r="1621" ht="15">
      <c r="C1621" s="352"/>
    </row>
    <row r="1622" ht="15">
      <c r="C1622" s="352"/>
    </row>
    <row r="1623" ht="15">
      <c r="C1623" s="352"/>
    </row>
    <row r="1624" ht="15">
      <c r="C1624" s="352"/>
    </row>
    <row r="1625" ht="15">
      <c r="C1625" s="352"/>
    </row>
    <row r="1626" ht="15">
      <c r="C1626" s="352"/>
    </row>
    <row r="1627" ht="15">
      <c r="C1627" s="352"/>
    </row>
    <row r="1628" ht="15">
      <c r="C1628" s="352"/>
    </row>
    <row r="1629" ht="15">
      <c r="C1629" s="352"/>
    </row>
    <row r="1630" ht="15">
      <c r="C1630" s="352"/>
    </row>
    <row r="1631" ht="15">
      <c r="C1631" s="352"/>
    </row>
    <row r="1632" ht="15">
      <c r="C1632" s="352"/>
    </row>
    <row r="1633" ht="15">
      <c r="C1633" s="352"/>
    </row>
    <row r="1634" ht="15">
      <c r="C1634" s="352"/>
    </row>
    <row r="1635" ht="15">
      <c r="C1635" s="352"/>
    </row>
    <row r="1636" ht="15">
      <c r="C1636" s="352"/>
    </row>
    <row r="1637" ht="15">
      <c r="C1637" s="352"/>
    </row>
    <row r="1638" ht="15">
      <c r="C1638" s="352"/>
    </row>
    <row r="1639" ht="15">
      <c r="C1639" s="352"/>
    </row>
    <row r="1640" ht="15">
      <c r="C1640" s="352"/>
    </row>
    <row r="1641" ht="15">
      <c r="C1641" s="352"/>
    </row>
    <row r="1642" ht="15">
      <c r="C1642" s="352"/>
    </row>
    <row r="1643" ht="15">
      <c r="C1643" s="352"/>
    </row>
    <row r="1644" ht="15">
      <c r="C1644" s="352"/>
    </row>
    <row r="1645" ht="15">
      <c r="C1645" s="352"/>
    </row>
    <row r="1646" ht="15">
      <c r="C1646" s="352"/>
    </row>
    <row r="1647" ht="15">
      <c r="C1647" s="352"/>
    </row>
    <row r="1648" ht="15">
      <c r="C1648" s="352"/>
    </row>
    <row r="1649" ht="15">
      <c r="C1649" s="352"/>
    </row>
    <row r="1650" ht="15">
      <c r="C1650" s="352"/>
    </row>
    <row r="1651" ht="15">
      <c r="C1651" s="352"/>
    </row>
    <row r="1652" ht="15">
      <c r="C1652" s="352"/>
    </row>
    <row r="1653" ht="15">
      <c r="C1653" s="352"/>
    </row>
    <row r="1654" ht="15">
      <c r="C1654" s="352"/>
    </row>
    <row r="1655" ht="15">
      <c r="C1655" s="352"/>
    </row>
    <row r="1656" ht="15">
      <c r="C1656" s="352"/>
    </row>
    <row r="1657" ht="15">
      <c r="C1657" s="352"/>
    </row>
    <row r="1658" ht="15">
      <c r="C1658" s="352"/>
    </row>
    <row r="1659" ht="15">
      <c r="C1659" s="352"/>
    </row>
    <row r="1660" ht="15">
      <c r="C1660" s="352"/>
    </row>
    <row r="1661" ht="15">
      <c r="C1661" s="352"/>
    </row>
    <row r="1662" ht="15">
      <c r="C1662" s="352"/>
    </row>
    <row r="1663" ht="15">
      <c r="C1663" s="352"/>
    </row>
    <row r="1664" ht="15">
      <c r="C1664" s="352"/>
    </row>
    <row r="1665" ht="15">
      <c r="C1665" s="352"/>
    </row>
    <row r="1666" ht="15">
      <c r="C1666" s="352"/>
    </row>
    <row r="1667" ht="15">
      <c r="C1667" s="352"/>
    </row>
    <row r="1668" ht="15">
      <c r="C1668" s="352"/>
    </row>
    <row r="1669" ht="15">
      <c r="C1669" s="352"/>
    </row>
    <row r="1670" ht="15">
      <c r="C1670" s="352"/>
    </row>
    <row r="1671" ht="15">
      <c r="C1671" s="352"/>
    </row>
    <row r="1672" ht="15">
      <c r="C1672" s="352"/>
    </row>
    <row r="1673" ht="15">
      <c r="C1673" s="352"/>
    </row>
    <row r="1674" ht="15">
      <c r="C1674" s="352"/>
    </row>
    <row r="1675" ht="15">
      <c r="C1675" s="352"/>
    </row>
    <row r="1676" ht="15">
      <c r="C1676" s="352"/>
    </row>
    <row r="1677" ht="15">
      <c r="C1677" s="352"/>
    </row>
    <row r="1678" ht="15">
      <c r="C1678" s="352"/>
    </row>
    <row r="1679" ht="15">
      <c r="C1679" s="352"/>
    </row>
    <row r="1680" ht="15">
      <c r="C1680" s="352"/>
    </row>
    <row r="1681" ht="15">
      <c r="C1681" s="352"/>
    </row>
    <row r="1682" ht="15">
      <c r="C1682" s="352"/>
    </row>
    <row r="1683" ht="15">
      <c r="C1683" s="352"/>
    </row>
    <row r="1684" ht="15">
      <c r="C1684" s="352"/>
    </row>
    <row r="1685" ht="15">
      <c r="C1685" s="352"/>
    </row>
    <row r="1686" ht="15">
      <c r="C1686" s="352"/>
    </row>
    <row r="1687" ht="15">
      <c r="C1687" s="352"/>
    </row>
    <row r="1688" ht="15">
      <c r="C1688" s="352"/>
    </row>
    <row r="1689" ht="15">
      <c r="C1689" s="352"/>
    </row>
    <row r="1690" ht="15">
      <c r="C1690" s="352"/>
    </row>
    <row r="1691" ht="15">
      <c r="C1691" s="352"/>
    </row>
    <row r="1692" ht="15">
      <c r="C1692" s="352"/>
    </row>
    <row r="1693" ht="15">
      <c r="C1693" s="352"/>
    </row>
    <row r="1694" ht="15">
      <c r="C1694" s="352"/>
    </row>
    <row r="1695" ht="15">
      <c r="C1695" s="352"/>
    </row>
    <row r="1696" ht="15">
      <c r="C1696" s="352"/>
    </row>
    <row r="1697" ht="15">
      <c r="C1697" s="352"/>
    </row>
    <row r="1698" ht="15">
      <c r="C1698" s="352"/>
    </row>
    <row r="1699" ht="15">
      <c r="C1699" s="352"/>
    </row>
    <row r="1700" ht="15">
      <c r="C1700" s="352"/>
    </row>
    <row r="1701" ht="15">
      <c r="C1701" s="352"/>
    </row>
    <row r="1702" ht="15">
      <c r="C1702" s="352"/>
    </row>
    <row r="1703" ht="15">
      <c r="C1703" s="352"/>
    </row>
    <row r="1704" ht="15">
      <c r="C1704" s="352"/>
    </row>
    <row r="1705" ht="15">
      <c r="C1705" s="352"/>
    </row>
    <row r="1706" ht="15">
      <c r="C1706" s="352"/>
    </row>
    <row r="1707" ht="15">
      <c r="C1707" s="352"/>
    </row>
    <row r="1708" ht="15">
      <c r="C1708" s="352"/>
    </row>
    <row r="1709" ht="15">
      <c r="C1709" s="352"/>
    </row>
    <row r="1710" ht="15">
      <c r="C1710" s="352"/>
    </row>
    <row r="1711" ht="15">
      <c r="C1711" s="352"/>
    </row>
    <row r="1712" ht="15">
      <c r="C1712" s="352"/>
    </row>
    <row r="1713" ht="15">
      <c r="C1713" s="352"/>
    </row>
    <row r="1714" ht="15">
      <c r="C1714" s="352"/>
    </row>
    <row r="1715" ht="15">
      <c r="C1715" s="352"/>
    </row>
    <row r="1716" ht="15">
      <c r="C1716" s="352"/>
    </row>
    <row r="1717" ht="15">
      <c r="C1717" s="352"/>
    </row>
    <row r="1718" ht="15">
      <c r="C1718" s="352"/>
    </row>
    <row r="1719" ht="15">
      <c r="C1719" s="352"/>
    </row>
    <row r="1720" ht="15">
      <c r="C1720" s="352"/>
    </row>
    <row r="1721" ht="15">
      <c r="C1721" s="352"/>
    </row>
    <row r="1722" ht="15">
      <c r="C1722" s="352"/>
    </row>
    <row r="1723" ht="15">
      <c r="C1723" s="352"/>
    </row>
    <row r="1724" ht="15">
      <c r="C1724" s="352"/>
    </row>
    <row r="1725" ht="15">
      <c r="C1725" s="352"/>
    </row>
    <row r="1726" ht="15">
      <c r="C1726" s="352"/>
    </row>
    <row r="1727" ht="15">
      <c r="C1727" s="352"/>
    </row>
    <row r="1728" ht="15">
      <c r="C1728" s="352"/>
    </row>
    <row r="1729" ht="15">
      <c r="C1729" s="352"/>
    </row>
    <row r="1730" ht="15">
      <c r="C1730" s="352"/>
    </row>
    <row r="1731" ht="15">
      <c r="C1731" s="352"/>
    </row>
    <row r="1732" ht="15">
      <c r="C1732" s="352"/>
    </row>
    <row r="1733" ht="15">
      <c r="C1733" s="352"/>
    </row>
    <row r="1734" ht="15">
      <c r="C1734" s="352"/>
    </row>
    <row r="1735" ht="15">
      <c r="C1735" s="352"/>
    </row>
    <row r="1736" ht="15">
      <c r="C1736" s="352"/>
    </row>
    <row r="1737" ht="15">
      <c r="C1737" s="352"/>
    </row>
    <row r="1738" ht="15">
      <c r="C1738" s="352"/>
    </row>
    <row r="1739" ht="15">
      <c r="C1739" s="352"/>
    </row>
    <row r="1740" ht="15">
      <c r="C1740" s="352"/>
    </row>
    <row r="1741" ht="15">
      <c r="C1741" s="352"/>
    </row>
    <row r="1742" ht="15">
      <c r="C1742" s="352"/>
    </row>
    <row r="1743" ht="15">
      <c r="C1743" s="352"/>
    </row>
    <row r="1744" ht="15">
      <c r="C1744" s="352"/>
    </row>
    <row r="1745" ht="15">
      <c r="C1745" s="352"/>
    </row>
    <row r="1746" ht="15">
      <c r="C1746" s="352"/>
    </row>
    <row r="1747" ht="15">
      <c r="C1747" s="352"/>
    </row>
    <row r="1748" ht="15">
      <c r="C1748" s="352"/>
    </row>
    <row r="1749" ht="15">
      <c r="C1749" s="352"/>
    </row>
    <row r="1750" ht="15">
      <c r="C1750" s="352"/>
    </row>
    <row r="1751" ht="15">
      <c r="C1751" s="352"/>
    </row>
    <row r="1752" ht="15">
      <c r="C1752" s="352"/>
    </row>
    <row r="1753" ht="15">
      <c r="C1753" s="352"/>
    </row>
    <row r="1754" ht="15">
      <c r="C1754" s="352"/>
    </row>
    <row r="1755" ht="15">
      <c r="C1755" s="352"/>
    </row>
    <row r="1756" ht="15">
      <c r="C1756" s="352"/>
    </row>
    <row r="1757" ht="15">
      <c r="C1757" s="352"/>
    </row>
    <row r="1758" ht="15">
      <c r="C1758" s="352"/>
    </row>
    <row r="1759" ht="15">
      <c r="C1759" s="352"/>
    </row>
    <row r="1760" ht="15">
      <c r="C1760" s="352"/>
    </row>
    <row r="1761" ht="15">
      <c r="C1761" s="352"/>
    </row>
    <row r="1762" ht="15">
      <c r="C1762" s="352"/>
    </row>
    <row r="1763" ht="15">
      <c r="C1763" s="352"/>
    </row>
    <row r="1764" ht="15">
      <c r="C1764" s="352"/>
    </row>
    <row r="1765" ht="15">
      <c r="C1765" s="352"/>
    </row>
    <row r="1766" ht="15">
      <c r="C1766" s="352"/>
    </row>
    <row r="1767" ht="15">
      <c r="C1767" s="352"/>
    </row>
    <row r="1768" ht="15">
      <c r="C1768" s="352"/>
    </row>
    <row r="1769" ht="15">
      <c r="C1769" s="352"/>
    </row>
    <row r="1770" ht="15">
      <c r="C1770" s="352"/>
    </row>
    <row r="1771" ht="15">
      <c r="C1771" s="352"/>
    </row>
    <row r="1772" ht="15">
      <c r="C1772" s="352"/>
    </row>
    <row r="1773" ht="15">
      <c r="C1773" s="352"/>
    </row>
    <row r="1774" ht="15">
      <c r="C1774" s="352"/>
    </row>
    <row r="1775" ht="15">
      <c r="C1775" s="352"/>
    </row>
    <row r="1776" ht="15">
      <c r="C1776" s="352"/>
    </row>
    <row r="1777" ht="15">
      <c r="C1777" s="352"/>
    </row>
    <row r="1778" ht="15">
      <c r="C1778" s="352"/>
    </row>
    <row r="1779" ht="15">
      <c r="C1779" s="352"/>
    </row>
    <row r="1780" ht="15">
      <c r="C1780" s="352"/>
    </row>
    <row r="1781" ht="15">
      <c r="C1781" s="352"/>
    </row>
    <row r="1782" ht="15">
      <c r="C1782" s="352"/>
    </row>
    <row r="1783" ht="15">
      <c r="C1783" s="352"/>
    </row>
    <row r="1784" ht="15">
      <c r="C1784" s="352"/>
    </row>
    <row r="1785" ht="15">
      <c r="C1785" s="352"/>
    </row>
    <row r="1786" ht="15">
      <c r="C1786" s="352"/>
    </row>
    <row r="1787" ht="15">
      <c r="C1787" s="352"/>
    </row>
    <row r="1788" ht="15">
      <c r="C1788" s="352"/>
    </row>
    <row r="1789" ht="15">
      <c r="C1789" s="352"/>
    </row>
    <row r="1790" ht="15">
      <c r="C1790" s="352"/>
    </row>
    <row r="1791" ht="15">
      <c r="C1791" s="352"/>
    </row>
    <row r="1792" ht="15">
      <c r="C1792" s="352"/>
    </row>
    <row r="1793" ht="15">
      <c r="C1793" s="352"/>
    </row>
    <row r="1794" ht="15">
      <c r="C1794" s="352"/>
    </row>
    <row r="1795" ht="15">
      <c r="C1795" s="352"/>
    </row>
    <row r="1796" ht="15">
      <c r="C1796" s="352"/>
    </row>
    <row r="1797" ht="15">
      <c r="C1797" s="352"/>
    </row>
    <row r="1798" ht="15">
      <c r="C1798" s="352"/>
    </row>
    <row r="1799" ht="15">
      <c r="C1799" s="352"/>
    </row>
    <row r="1800" ht="15">
      <c r="C1800" s="352"/>
    </row>
    <row r="1801" ht="15">
      <c r="C1801" s="352"/>
    </row>
    <row r="1802" ht="15">
      <c r="C1802" s="352"/>
    </row>
    <row r="1803" ht="15">
      <c r="C1803" s="352"/>
    </row>
    <row r="1804" ht="15">
      <c r="C1804" s="352"/>
    </row>
    <row r="1805" ht="15">
      <c r="C1805" s="352"/>
    </row>
    <row r="1806" ht="15">
      <c r="C1806" s="352"/>
    </row>
    <row r="1807" ht="15">
      <c r="C1807" s="352"/>
    </row>
    <row r="1808" ht="15">
      <c r="C1808" s="352"/>
    </row>
    <row r="1809" ht="15">
      <c r="C1809" s="352"/>
    </row>
    <row r="1810" ht="15">
      <c r="C1810" s="352"/>
    </row>
    <row r="1811" ht="15">
      <c r="C1811" s="352"/>
    </row>
    <row r="1812" ht="15">
      <c r="C1812" s="352"/>
    </row>
    <row r="1813" ht="15">
      <c r="C1813" s="352"/>
    </row>
    <row r="1814" ht="15">
      <c r="C1814" s="352"/>
    </row>
    <row r="1815" ht="15">
      <c r="C1815" s="352"/>
    </row>
    <row r="1816" ht="15">
      <c r="C1816" s="352"/>
    </row>
    <row r="1817" ht="15">
      <c r="C1817" s="352"/>
    </row>
    <row r="1818" ht="15">
      <c r="C1818" s="352"/>
    </row>
    <row r="1819" ht="15">
      <c r="C1819" s="352"/>
    </row>
    <row r="1820" ht="15">
      <c r="C1820" s="352"/>
    </row>
    <row r="1821" ht="15">
      <c r="C1821" s="352"/>
    </row>
    <row r="1822" ht="15">
      <c r="C1822" s="352"/>
    </row>
    <row r="1823" ht="15">
      <c r="C1823" s="352"/>
    </row>
    <row r="1824" ht="15">
      <c r="C1824" s="352"/>
    </row>
    <row r="1825" ht="15">
      <c r="C1825" s="352"/>
    </row>
    <row r="1826" ht="15">
      <c r="C1826" s="352"/>
    </row>
    <row r="1827" ht="15">
      <c r="C1827" s="352"/>
    </row>
    <row r="1828" ht="15">
      <c r="C1828" s="352"/>
    </row>
    <row r="1829" ht="15">
      <c r="C1829" s="352"/>
    </row>
    <row r="1830" ht="15">
      <c r="C1830" s="352"/>
    </row>
    <row r="1831" ht="15">
      <c r="C1831" s="352"/>
    </row>
    <row r="1832" ht="15">
      <c r="C1832" s="352"/>
    </row>
    <row r="1833" ht="15">
      <c r="C1833" s="352"/>
    </row>
    <row r="1834" ht="15">
      <c r="C1834" s="352"/>
    </row>
    <row r="1835" ht="15">
      <c r="C1835" s="352"/>
    </row>
    <row r="1836" ht="15">
      <c r="C1836" s="352"/>
    </row>
    <row r="1837" ht="15">
      <c r="C1837" s="352"/>
    </row>
    <row r="1838" ht="15">
      <c r="C1838" s="352"/>
    </row>
    <row r="1839" ht="15">
      <c r="C1839" s="352"/>
    </row>
    <row r="1840" ht="15">
      <c r="C1840" s="352"/>
    </row>
    <row r="1841" ht="15">
      <c r="C1841" s="352"/>
    </row>
    <row r="1842" ht="15">
      <c r="C1842" s="352"/>
    </row>
    <row r="1843" ht="15">
      <c r="C1843" s="352"/>
    </row>
    <row r="1844" ht="15">
      <c r="C1844" s="352"/>
    </row>
    <row r="1845" ht="15">
      <c r="C1845" s="352"/>
    </row>
    <row r="1846" ht="15">
      <c r="C1846" s="352"/>
    </row>
    <row r="1847" ht="15">
      <c r="C1847" s="352"/>
    </row>
    <row r="1848" ht="15">
      <c r="C1848" s="352"/>
    </row>
    <row r="1849" ht="15">
      <c r="C1849" s="352"/>
    </row>
    <row r="1850" ht="15">
      <c r="C1850" s="352"/>
    </row>
    <row r="1851" ht="15">
      <c r="C1851" s="352"/>
    </row>
    <row r="1852" ht="15">
      <c r="C1852" s="352"/>
    </row>
    <row r="1853" ht="15">
      <c r="C1853" s="352"/>
    </row>
    <row r="1854" ht="15">
      <c r="C1854" s="352"/>
    </row>
    <row r="1855" ht="15">
      <c r="C1855" s="352"/>
    </row>
    <row r="1856" ht="15">
      <c r="C1856" s="352"/>
    </row>
    <row r="1857" ht="15">
      <c r="C1857" s="352"/>
    </row>
    <row r="1858" ht="15">
      <c r="C1858" s="352"/>
    </row>
    <row r="1859" ht="15">
      <c r="C1859" s="352"/>
    </row>
    <row r="1860" ht="15">
      <c r="C1860" s="352"/>
    </row>
    <row r="1861" ht="15">
      <c r="C1861" s="352"/>
    </row>
    <row r="1862" ht="15">
      <c r="C1862" s="352"/>
    </row>
    <row r="1863" ht="15">
      <c r="C1863" s="352"/>
    </row>
    <row r="1864" ht="15">
      <c r="C1864" s="352"/>
    </row>
    <row r="1865" ht="15">
      <c r="C1865" s="352"/>
    </row>
    <row r="1866" ht="15">
      <c r="C1866" s="352"/>
    </row>
    <row r="1867" ht="15">
      <c r="C1867" s="352"/>
    </row>
    <row r="1868" ht="15">
      <c r="C1868" s="352"/>
    </row>
    <row r="1869" ht="15">
      <c r="C1869" s="352"/>
    </row>
    <row r="1870" ht="15">
      <c r="C1870" s="352"/>
    </row>
    <row r="1871" ht="15">
      <c r="C1871" s="352"/>
    </row>
    <row r="1872" ht="15">
      <c r="C1872" s="352"/>
    </row>
    <row r="1873" ht="15">
      <c r="C1873" s="352"/>
    </row>
    <row r="1874" ht="15">
      <c r="C1874" s="352"/>
    </row>
    <row r="1875" ht="15">
      <c r="C1875" s="352"/>
    </row>
    <row r="1876" ht="15">
      <c r="C1876" s="352"/>
    </row>
    <row r="1877" ht="15">
      <c r="C1877" s="352"/>
    </row>
    <row r="1878" ht="15">
      <c r="C1878" s="352"/>
    </row>
    <row r="1879" ht="15">
      <c r="C1879" s="352"/>
    </row>
    <row r="1880" ht="15">
      <c r="C1880" s="352"/>
    </row>
    <row r="1881" ht="15">
      <c r="C1881" s="352"/>
    </row>
    <row r="1882" ht="15">
      <c r="C1882" s="352"/>
    </row>
    <row r="1883" ht="15">
      <c r="C1883" s="352"/>
    </row>
    <row r="1884" ht="15">
      <c r="C1884" s="352"/>
    </row>
    <row r="1885" ht="15">
      <c r="C1885" s="352"/>
    </row>
    <row r="1886" ht="15">
      <c r="C1886" s="352"/>
    </row>
    <row r="1887" ht="15">
      <c r="C1887" s="352"/>
    </row>
    <row r="1888" ht="15">
      <c r="C1888" s="352"/>
    </row>
    <row r="1889" ht="15">
      <c r="C1889" s="352"/>
    </row>
    <row r="1890" ht="15">
      <c r="C1890" s="352"/>
    </row>
    <row r="1891" ht="15">
      <c r="C1891" s="352"/>
    </row>
    <row r="1892" ht="15">
      <c r="C1892" s="352"/>
    </row>
    <row r="1893" ht="15">
      <c r="C1893" s="352"/>
    </row>
    <row r="1894" ht="15">
      <c r="C1894" s="352"/>
    </row>
    <row r="1895" ht="15">
      <c r="C1895" s="352"/>
    </row>
    <row r="1896" ht="15">
      <c r="C1896" s="352"/>
    </row>
    <row r="1897" ht="15">
      <c r="C1897" s="352"/>
    </row>
    <row r="1898" ht="15">
      <c r="C1898" s="352"/>
    </row>
    <row r="1899" ht="15">
      <c r="C1899" s="352"/>
    </row>
    <row r="1900" ht="15">
      <c r="C1900" s="352"/>
    </row>
    <row r="1901" ht="15">
      <c r="C1901" s="352"/>
    </row>
    <row r="1902" ht="15">
      <c r="C1902" s="352"/>
    </row>
    <row r="1903" ht="15">
      <c r="C1903" s="352"/>
    </row>
    <row r="1904" ht="15">
      <c r="C1904" s="352"/>
    </row>
    <row r="1905" ht="15">
      <c r="C1905" s="352"/>
    </row>
    <row r="1906" ht="15">
      <c r="C1906" s="352"/>
    </row>
    <row r="1907" ht="15">
      <c r="C1907" s="352"/>
    </row>
    <row r="1908" ht="15">
      <c r="C1908" s="352"/>
    </row>
    <row r="1909" ht="15">
      <c r="C1909" s="352"/>
    </row>
    <row r="1910" ht="15">
      <c r="C1910" s="352"/>
    </row>
    <row r="1911" ht="15">
      <c r="C1911" s="352"/>
    </row>
    <row r="1912" ht="15">
      <c r="C1912" s="352"/>
    </row>
    <row r="1913" ht="15">
      <c r="C1913" s="352"/>
    </row>
    <row r="1914" ht="15">
      <c r="C1914" s="352"/>
    </row>
    <row r="1915" ht="15">
      <c r="C1915" s="352"/>
    </row>
    <row r="1916" ht="15">
      <c r="C1916" s="352"/>
    </row>
    <row r="1917" ht="15">
      <c r="C1917" s="352"/>
    </row>
    <row r="1918" ht="15">
      <c r="C1918" s="352"/>
    </row>
    <row r="1919" ht="15">
      <c r="C1919" s="352"/>
    </row>
    <row r="1920" ht="15">
      <c r="C1920" s="352"/>
    </row>
    <row r="1921" ht="15">
      <c r="C1921" s="352"/>
    </row>
    <row r="1922" ht="15">
      <c r="C1922" s="352"/>
    </row>
    <row r="1923" ht="15">
      <c r="C1923" s="352"/>
    </row>
    <row r="1924" ht="15">
      <c r="C1924" s="352"/>
    </row>
    <row r="1925" ht="15">
      <c r="C1925" s="352"/>
    </row>
    <row r="1926" ht="15">
      <c r="C1926" s="352"/>
    </row>
    <row r="1927" ht="15">
      <c r="C1927" s="352"/>
    </row>
    <row r="1928" ht="15">
      <c r="C1928" s="352"/>
    </row>
    <row r="1929" ht="15">
      <c r="C1929" s="352"/>
    </row>
    <row r="1930" ht="15">
      <c r="C1930" s="352"/>
    </row>
    <row r="1931" ht="15">
      <c r="C1931" s="352"/>
    </row>
    <row r="1932" ht="15">
      <c r="C1932" s="352"/>
    </row>
    <row r="1933" ht="15">
      <c r="C1933" s="352"/>
    </row>
    <row r="1934" ht="15">
      <c r="C1934" s="352"/>
    </row>
    <row r="1935" ht="15">
      <c r="C1935" s="352"/>
    </row>
    <row r="1936" ht="15">
      <c r="C1936" s="352"/>
    </row>
    <row r="1937" ht="15">
      <c r="C1937" s="352"/>
    </row>
    <row r="1938" ht="15">
      <c r="C1938" s="352"/>
    </row>
    <row r="1939" ht="15">
      <c r="C1939" s="352"/>
    </row>
    <row r="1940" ht="15">
      <c r="C1940" s="352"/>
    </row>
    <row r="1941" ht="15">
      <c r="C1941" s="352"/>
    </row>
    <row r="1942" ht="15">
      <c r="C1942" s="352"/>
    </row>
    <row r="1943" ht="15">
      <c r="C1943" s="352"/>
    </row>
    <row r="1944" ht="15">
      <c r="C1944" s="352"/>
    </row>
    <row r="1945" ht="15">
      <c r="C1945" s="352"/>
    </row>
    <row r="1946" ht="15">
      <c r="C1946" s="352"/>
    </row>
    <row r="1947" ht="15">
      <c r="C1947" s="352"/>
    </row>
    <row r="1948" ht="15">
      <c r="C1948" s="352"/>
    </row>
    <row r="1949" ht="15">
      <c r="C1949" s="352"/>
    </row>
    <row r="1950" ht="15">
      <c r="C1950" s="352"/>
    </row>
    <row r="1951" ht="15">
      <c r="C1951" s="352"/>
    </row>
    <row r="1952" ht="15">
      <c r="C1952" s="352"/>
    </row>
    <row r="1953" ht="15">
      <c r="C1953" s="352"/>
    </row>
    <row r="1954" ht="15">
      <c r="C1954" s="352"/>
    </row>
    <row r="1955" ht="15">
      <c r="C1955" s="352"/>
    </row>
    <row r="1956" ht="15">
      <c r="C1956" s="352"/>
    </row>
    <row r="1957" ht="15">
      <c r="C1957" s="352"/>
    </row>
    <row r="1958" ht="15">
      <c r="C1958" s="352"/>
    </row>
    <row r="1959" ht="15">
      <c r="C1959" s="352"/>
    </row>
    <row r="1960" ht="15">
      <c r="C1960" s="352"/>
    </row>
    <row r="1961" ht="15">
      <c r="C1961" s="352"/>
    </row>
    <row r="1962" ht="15">
      <c r="C1962" s="352"/>
    </row>
    <row r="1963" ht="15">
      <c r="C1963" s="352"/>
    </row>
    <row r="1964" ht="15">
      <c r="C1964" s="352"/>
    </row>
    <row r="1965" ht="15">
      <c r="C1965" s="352"/>
    </row>
    <row r="1966" ht="15">
      <c r="C1966" s="352"/>
    </row>
    <row r="1967" ht="15">
      <c r="C1967" s="352"/>
    </row>
    <row r="1968" ht="15">
      <c r="C1968" s="352"/>
    </row>
    <row r="1969" ht="15">
      <c r="C1969" s="352"/>
    </row>
    <row r="1970" ht="15">
      <c r="C1970" s="352"/>
    </row>
    <row r="1971" ht="15">
      <c r="C1971" s="352"/>
    </row>
    <row r="1972" ht="15">
      <c r="C1972" s="352"/>
    </row>
    <row r="1973" ht="15">
      <c r="C1973" s="352"/>
    </row>
    <row r="1974" ht="15">
      <c r="C1974" s="352"/>
    </row>
    <row r="1975" ht="15">
      <c r="C1975" s="352"/>
    </row>
    <row r="1976" ht="15">
      <c r="C1976" s="352"/>
    </row>
    <row r="1977" ht="15">
      <c r="C1977" s="352"/>
    </row>
    <row r="1978" ht="15">
      <c r="C1978" s="352"/>
    </row>
    <row r="1979" ht="15">
      <c r="C1979" s="352"/>
    </row>
    <row r="1980" ht="15">
      <c r="C1980" s="352"/>
    </row>
    <row r="1981" ht="15">
      <c r="C1981" s="352"/>
    </row>
    <row r="1982" ht="15">
      <c r="C1982" s="352"/>
    </row>
    <row r="1983" ht="15">
      <c r="C1983" s="352"/>
    </row>
    <row r="1984" ht="15">
      <c r="C1984" s="352"/>
    </row>
    <row r="1985" ht="15">
      <c r="C1985" s="352"/>
    </row>
    <row r="1986" ht="15">
      <c r="C1986" s="352"/>
    </row>
    <row r="1987" ht="15">
      <c r="C1987" s="352"/>
    </row>
    <row r="1988" ht="15">
      <c r="C1988" s="352"/>
    </row>
    <row r="1989" ht="15">
      <c r="C1989" s="352"/>
    </row>
    <row r="1990" ht="15">
      <c r="C1990" s="352"/>
    </row>
    <row r="1991" ht="15">
      <c r="C1991" s="352"/>
    </row>
    <row r="1992" ht="15">
      <c r="C1992" s="352"/>
    </row>
    <row r="1993" ht="15">
      <c r="C1993" s="352"/>
    </row>
    <row r="1994" ht="15">
      <c r="C1994" s="352"/>
    </row>
    <row r="1995" ht="15">
      <c r="C1995" s="352"/>
    </row>
    <row r="1996" ht="15">
      <c r="C1996" s="352"/>
    </row>
    <row r="1997" ht="15">
      <c r="C1997" s="352"/>
    </row>
    <row r="1998" ht="15">
      <c r="C1998" s="352"/>
    </row>
    <row r="1999" ht="15">
      <c r="C1999" s="352"/>
    </row>
    <row r="2000" ht="15">
      <c r="C2000" s="352"/>
    </row>
    <row r="2001" ht="15">
      <c r="C2001" s="352"/>
    </row>
    <row r="2002" ht="15">
      <c r="C2002" s="352"/>
    </row>
    <row r="2003" ht="15">
      <c r="C2003" s="352"/>
    </row>
    <row r="2004" ht="15">
      <c r="C2004" s="352"/>
    </row>
    <row r="2005" ht="15">
      <c r="C2005" s="352"/>
    </row>
    <row r="2006" ht="15">
      <c r="C2006" s="352"/>
    </row>
    <row r="2007" ht="15">
      <c r="C2007" s="352"/>
    </row>
    <row r="2008" ht="15">
      <c r="C2008" s="352"/>
    </row>
    <row r="2009" ht="15">
      <c r="C2009" s="352"/>
    </row>
    <row r="2010" ht="15">
      <c r="C2010" s="352"/>
    </row>
    <row r="2011" ht="15">
      <c r="C2011" s="352"/>
    </row>
    <row r="2012" ht="15">
      <c r="C2012" s="352"/>
    </row>
    <row r="2013" ht="15">
      <c r="C2013" s="352"/>
    </row>
    <row r="2014" ht="15">
      <c r="C2014" s="352"/>
    </row>
    <row r="2015" ht="15">
      <c r="C2015" s="352"/>
    </row>
    <row r="2016" ht="15">
      <c r="C2016" s="352"/>
    </row>
    <row r="2017" ht="15">
      <c r="C2017" s="352"/>
    </row>
    <row r="2018" ht="15">
      <c r="C2018" s="352"/>
    </row>
    <row r="2019" ht="15">
      <c r="C2019" s="352"/>
    </row>
    <row r="2020" ht="15">
      <c r="C2020" s="352"/>
    </row>
    <row r="2021" ht="15">
      <c r="C2021" s="352"/>
    </row>
    <row r="2022" ht="15">
      <c r="C2022" s="352"/>
    </row>
    <row r="2023" ht="15">
      <c r="C2023" s="352"/>
    </row>
    <row r="2024" ht="15">
      <c r="C2024" s="352"/>
    </row>
    <row r="2025" ht="15">
      <c r="C2025" s="352"/>
    </row>
    <row r="2026" ht="15">
      <c r="C2026" s="352"/>
    </row>
    <row r="2027" ht="15">
      <c r="C2027" s="352"/>
    </row>
    <row r="2028" ht="15">
      <c r="C2028" s="352"/>
    </row>
    <row r="2029" ht="15">
      <c r="C2029" s="352"/>
    </row>
    <row r="2030" ht="15">
      <c r="C2030" s="352"/>
    </row>
    <row r="2031" ht="15">
      <c r="C2031" s="352"/>
    </row>
    <row r="2032" ht="15">
      <c r="C2032" s="352"/>
    </row>
    <row r="2033" ht="15">
      <c r="C2033" s="352"/>
    </row>
    <row r="2034" ht="15">
      <c r="C2034" s="352"/>
    </row>
    <row r="2035" ht="15">
      <c r="C2035" s="352"/>
    </row>
    <row r="2036" ht="15">
      <c r="C2036" s="352"/>
    </row>
    <row r="2037" ht="15">
      <c r="C2037" s="352"/>
    </row>
    <row r="2038" ht="15">
      <c r="C2038" s="352"/>
    </row>
    <row r="2039" ht="15">
      <c r="C2039" s="352"/>
    </row>
    <row r="2040" ht="15">
      <c r="C2040" s="352"/>
    </row>
    <row r="2041" ht="15">
      <c r="C2041" s="352"/>
    </row>
    <row r="2042" ht="15">
      <c r="C2042" s="352"/>
    </row>
    <row r="2043" ht="15">
      <c r="C2043" s="352"/>
    </row>
    <row r="2044" ht="15">
      <c r="C2044" s="352"/>
    </row>
    <row r="2045" ht="15">
      <c r="C2045" s="352"/>
    </row>
    <row r="2046" ht="15">
      <c r="C2046" s="352"/>
    </row>
    <row r="2047" ht="15">
      <c r="C2047" s="352"/>
    </row>
    <row r="2048" ht="15">
      <c r="C2048" s="352"/>
    </row>
    <row r="2049" ht="15">
      <c r="C2049" s="352"/>
    </row>
    <row r="2050" ht="15">
      <c r="C2050" s="352"/>
    </row>
    <row r="2051" ht="15">
      <c r="C2051" s="352"/>
    </row>
    <row r="2052" ht="15">
      <c r="C2052" s="352"/>
    </row>
    <row r="2053" ht="15">
      <c r="C2053" s="352"/>
    </row>
    <row r="2054" ht="15">
      <c r="C2054" s="352"/>
    </row>
    <row r="2055" ht="15">
      <c r="C2055" s="352"/>
    </row>
    <row r="2056" ht="15">
      <c r="C2056" s="352"/>
    </row>
    <row r="2057" ht="15">
      <c r="C2057" s="352"/>
    </row>
    <row r="2058" ht="15">
      <c r="C2058" s="352"/>
    </row>
    <row r="2059" ht="15">
      <c r="C2059" s="352"/>
    </row>
    <row r="2060" ht="15">
      <c r="C2060" s="352"/>
    </row>
    <row r="2061" ht="15">
      <c r="C2061" s="352"/>
    </row>
    <row r="2062" ht="15">
      <c r="C2062" s="352"/>
    </row>
    <row r="2063" ht="15">
      <c r="C2063" s="352"/>
    </row>
    <row r="2064" ht="15">
      <c r="C2064" s="352"/>
    </row>
    <row r="2065" ht="15">
      <c r="C2065" s="352"/>
    </row>
    <row r="2066" ht="15">
      <c r="C2066" s="352"/>
    </row>
    <row r="2067" ht="15">
      <c r="C2067" s="352"/>
    </row>
    <row r="2068" ht="15">
      <c r="C2068" s="352"/>
    </row>
    <row r="2069" ht="15">
      <c r="C2069" s="352"/>
    </row>
    <row r="2070" ht="15">
      <c r="C2070" s="352"/>
    </row>
    <row r="2071" ht="15">
      <c r="C2071" s="352"/>
    </row>
    <row r="2072" ht="15">
      <c r="C2072" s="352"/>
    </row>
    <row r="2073" ht="15">
      <c r="C2073" s="352"/>
    </row>
    <row r="2074" ht="15">
      <c r="C2074" s="352"/>
    </row>
    <row r="2075" ht="15">
      <c r="C2075" s="352"/>
    </row>
    <row r="2076" ht="15">
      <c r="C2076" s="352"/>
    </row>
    <row r="2077" ht="15">
      <c r="C2077" s="352"/>
    </row>
    <row r="2078" ht="15">
      <c r="C2078" s="352"/>
    </row>
    <row r="2079" ht="15">
      <c r="C2079" s="352"/>
    </row>
    <row r="2080" ht="15">
      <c r="C2080" s="352"/>
    </row>
    <row r="2081" ht="15">
      <c r="C2081" s="352"/>
    </row>
    <row r="2082" ht="15">
      <c r="C2082" s="352"/>
    </row>
    <row r="2083" ht="15">
      <c r="C2083" s="352"/>
    </row>
    <row r="2084" ht="15">
      <c r="C2084" s="352"/>
    </row>
    <row r="2085" ht="15">
      <c r="C2085" s="352"/>
    </row>
    <row r="2086" ht="15">
      <c r="C2086" s="352"/>
    </row>
    <row r="2087" ht="15">
      <c r="C2087" s="352"/>
    </row>
    <row r="2088" ht="15">
      <c r="C2088" s="352"/>
    </row>
    <row r="2089" ht="15">
      <c r="C2089" s="352"/>
    </row>
    <row r="2090" ht="15">
      <c r="C2090" s="352"/>
    </row>
    <row r="2091" ht="15">
      <c r="C2091" s="352"/>
    </row>
    <row r="2092" ht="15">
      <c r="C2092" s="352"/>
    </row>
    <row r="2093" ht="15">
      <c r="C2093" s="352"/>
    </row>
    <row r="2094" ht="15">
      <c r="C2094" s="352"/>
    </row>
    <row r="2095" ht="15">
      <c r="C2095" s="352"/>
    </row>
    <row r="2096" ht="15">
      <c r="C2096" s="352"/>
    </row>
    <row r="2097" ht="15">
      <c r="C2097" s="352"/>
    </row>
    <row r="2098" ht="15">
      <c r="C2098" s="352"/>
    </row>
    <row r="2099" ht="15">
      <c r="C2099" s="352"/>
    </row>
    <row r="2100" ht="15">
      <c r="C2100" s="352"/>
    </row>
    <row r="2101" ht="15">
      <c r="C2101" s="352"/>
    </row>
    <row r="2102" ht="15">
      <c r="C2102" s="352"/>
    </row>
    <row r="2103" ht="15">
      <c r="C2103" s="352"/>
    </row>
    <row r="2104" ht="15">
      <c r="C2104" s="352"/>
    </row>
    <row r="2105" ht="15">
      <c r="C2105" s="352"/>
    </row>
    <row r="2106" ht="15">
      <c r="C2106" s="352"/>
    </row>
    <row r="2107" ht="15">
      <c r="C2107" s="352"/>
    </row>
    <row r="2108" ht="15">
      <c r="C2108" s="352"/>
    </row>
    <row r="2109" ht="15">
      <c r="C2109" s="352"/>
    </row>
    <row r="2110" ht="15">
      <c r="C2110" s="352"/>
    </row>
    <row r="2111" ht="15">
      <c r="C2111" s="352"/>
    </row>
    <row r="2112" ht="15">
      <c r="C2112" s="352"/>
    </row>
    <row r="2113" ht="15">
      <c r="C2113" s="352"/>
    </row>
    <row r="2114" ht="15">
      <c r="C2114" s="352"/>
    </row>
    <row r="2115" ht="15">
      <c r="C2115" s="352"/>
    </row>
    <row r="2116" ht="15">
      <c r="C2116" s="352"/>
    </row>
    <row r="2117" ht="15">
      <c r="C2117" s="352"/>
    </row>
    <row r="2118" ht="15">
      <c r="C2118" s="352"/>
    </row>
    <row r="2119" ht="15">
      <c r="C2119" s="352"/>
    </row>
    <row r="2120" ht="15">
      <c r="C2120" s="352"/>
    </row>
    <row r="2121" ht="15">
      <c r="C2121" s="352"/>
    </row>
    <row r="2122" ht="15">
      <c r="C2122" s="352"/>
    </row>
    <row r="2123" ht="15">
      <c r="C2123" s="352"/>
    </row>
    <row r="2124" ht="15">
      <c r="C2124" s="352"/>
    </row>
    <row r="2125" ht="15">
      <c r="C2125" s="352"/>
    </row>
    <row r="2126" ht="15">
      <c r="C2126" s="352"/>
    </row>
    <row r="2127" ht="15">
      <c r="C2127" s="352"/>
    </row>
    <row r="2128" ht="15">
      <c r="C2128" s="352"/>
    </row>
    <row r="2129" ht="15">
      <c r="C2129" s="352"/>
    </row>
    <row r="2130" ht="15">
      <c r="C2130" s="352"/>
    </row>
    <row r="2131" ht="15">
      <c r="C2131" s="352"/>
    </row>
    <row r="2132" ht="15">
      <c r="C2132" s="352"/>
    </row>
    <row r="2133" ht="15">
      <c r="C2133" s="352"/>
    </row>
    <row r="2134" ht="15">
      <c r="C2134" s="352"/>
    </row>
    <row r="2135" ht="15">
      <c r="C2135" s="352"/>
    </row>
    <row r="2136" ht="15">
      <c r="C2136" s="352"/>
    </row>
    <row r="2137" ht="15">
      <c r="C2137" s="352"/>
    </row>
    <row r="2138" ht="15">
      <c r="C2138" s="352"/>
    </row>
    <row r="2139" ht="15">
      <c r="C2139" s="352"/>
    </row>
    <row r="2140" ht="15">
      <c r="C2140" s="352"/>
    </row>
    <row r="2141" ht="15">
      <c r="C2141" s="352"/>
    </row>
    <row r="2142" ht="15">
      <c r="C2142" s="352"/>
    </row>
    <row r="2143" ht="15">
      <c r="C2143" s="352"/>
    </row>
    <row r="2144" ht="15">
      <c r="C2144" s="352"/>
    </row>
    <row r="2145" ht="15">
      <c r="C2145" s="352"/>
    </row>
    <row r="2146" ht="15">
      <c r="C2146" s="352"/>
    </row>
    <row r="2147" ht="15">
      <c r="C2147" s="352"/>
    </row>
    <row r="2148" ht="15">
      <c r="C2148" s="352"/>
    </row>
    <row r="2149" ht="15">
      <c r="C2149" s="352"/>
    </row>
    <row r="2150" ht="15">
      <c r="C2150" s="352"/>
    </row>
    <row r="2151" ht="15">
      <c r="C2151" s="352"/>
    </row>
    <row r="2152" ht="15">
      <c r="C2152" s="352"/>
    </row>
    <row r="2153" ht="15">
      <c r="C2153" s="352"/>
    </row>
    <row r="2154" ht="15">
      <c r="C2154" s="352"/>
    </row>
    <row r="2155" ht="15">
      <c r="C2155" s="352"/>
    </row>
    <row r="2156" ht="15">
      <c r="C2156" s="352"/>
    </row>
    <row r="2157" ht="15">
      <c r="C2157" s="352"/>
    </row>
    <row r="2158" ht="15">
      <c r="C2158" s="352"/>
    </row>
    <row r="2159" ht="15">
      <c r="C2159" s="352"/>
    </row>
    <row r="2160" ht="15">
      <c r="C2160" s="352"/>
    </row>
    <row r="2161" ht="15">
      <c r="C2161" s="352"/>
    </row>
    <row r="2162" ht="15">
      <c r="C2162" s="352"/>
    </row>
    <row r="2163" ht="15">
      <c r="C2163" s="352"/>
    </row>
    <row r="2164" ht="15">
      <c r="C2164" s="352"/>
    </row>
    <row r="2165" ht="15">
      <c r="C2165" s="352"/>
    </row>
    <row r="2166" ht="15">
      <c r="C2166" s="352"/>
    </row>
    <row r="2167" ht="15">
      <c r="C2167" s="352"/>
    </row>
    <row r="2168" ht="15">
      <c r="C2168" s="352"/>
    </row>
    <row r="2169" ht="15">
      <c r="C2169" s="352"/>
    </row>
    <row r="2170" ht="15">
      <c r="C2170" s="352"/>
    </row>
    <row r="2171" ht="15">
      <c r="C2171" s="352"/>
    </row>
    <row r="2172" ht="15">
      <c r="C2172" s="352"/>
    </row>
    <row r="2173" ht="15">
      <c r="C2173" s="352"/>
    </row>
    <row r="2174" ht="15">
      <c r="C2174" s="352"/>
    </row>
    <row r="2175" ht="15">
      <c r="C2175" s="352"/>
    </row>
    <row r="2176" ht="15">
      <c r="C2176" s="352"/>
    </row>
    <row r="2177" ht="15">
      <c r="C2177" s="352"/>
    </row>
    <row r="2178" ht="15">
      <c r="C2178" s="352"/>
    </row>
    <row r="2179" ht="15">
      <c r="C2179" s="352"/>
    </row>
    <row r="2180" ht="15">
      <c r="C2180" s="352"/>
    </row>
    <row r="2181" ht="15">
      <c r="C2181" s="352"/>
    </row>
    <row r="2182" ht="15">
      <c r="C2182" s="352"/>
    </row>
    <row r="2183" ht="15">
      <c r="C2183" s="352"/>
    </row>
    <row r="2184" ht="15">
      <c r="C2184" s="352"/>
    </row>
    <row r="2185" ht="15">
      <c r="C2185" s="352"/>
    </row>
    <row r="2186" ht="15">
      <c r="C2186" s="352"/>
    </row>
    <row r="2187" ht="15">
      <c r="C2187" s="352"/>
    </row>
    <row r="2188" ht="15">
      <c r="C2188" s="352"/>
    </row>
    <row r="2189" ht="15">
      <c r="C2189" s="352"/>
    </row>
    <row r="2190" ht="15">
      <c r="C2190" s="352"/>
    </row>
    <row r="2191" ht="15">
      <c r="C2191" s="352"/>
    </row>
    <row r="2192" ht="15">
      <c r="C2192" s="352"/>
    </row>
    <row r="2193" ht="15">
      <c r="C2193" s="352"/>
    </row>
    <row r="2194" ht="15">
      <c r="C2194" s="352"/>
    </row>
    <row r="2195" ht="15">
      <c r="C2195" s="352"/>
    </row>
    <row r="2196" ht="15">
      <c r="C2196" s="352"/>
    </row>
    <row r="2197" ht="15">
      <c r="C2197" s="352"/>
    </row>
    <row r="2198" ht="15">
      <c r="C2198" s="352"/>
    </row>
    <row r="2199" ht="15">
      <c r="C2199" s="352"/>
    </row>
    <row r="2200" ht="15">
      <c r="C2200" s="352"/>
    </row>
    <row r="2201" ht="15">
      <c r="C2201" s="352"/>
    </row>
    <row r="2202" ht="15">
      <c r="C2202" s="352"/>
    </row>
    <row r="2203" ht="15">
      <c r="C2203" s="352"/>
    </row>
    <row r="2204" ht="15">
      <c r="C2204" s="352"/>
    </row>
    <row r="2205" ht="15">
      <c r="C2205" s="352"/>
    </row>
    <row r="2206" ht="15">
      <c r="C2206" s="352"/>
    </row>
    <row r="2207" ht="15">
      <c r="C2207" s="352"/>
    </row>
    <row r="2208" ht="15">
      <c r="C2208" s="352"/>
    </row>
    <row r="2209" ht="15">
      <c r="C2209" s="352"/>
    </row>
    <row r="2210" ht="15">
      <c r="C2210" s="352"/>
    </row>
    <row r="2211" ht="15">
      <c r="C2211" s="352"/>
    </row>
    <row r="2212" ht="15">
      <c r="C2212" s="352"/>
    </row>
    <row r="2213" ht="15">
      <c r="C2213" s="352"/>
    </row>
    <row r="2214" ht="15">
      <c r="C2214" s="352"/>
    </row>
    <row r="2215" ht="15">
      <c r="C2215" s="352"/>
    </row>
    <row r="2216" ht="15">
      <c r="C2216" s="352"/>
    </row>
    <row r="2217" ht="15">
      <c r="C2217" s="352"/>
    </row>
    <row r="2218" ht="15">
      <c r="C2218" s="352"/>
    </row>
    <row r="2219" ht="15">
      <c r="C2219" s="352"/>
    </row>
    <row r="2220" ht="15">
      <c r="C2220" s="352"/>
    </row>
    <row r="2221" ht="15">
      <c r="C2221" s="352"/>
    </row>
    <row r="2222" ht="15">
      <c r="C2222" s="352"/>
    </row>
    <row r="2223" ht="15">
      <c r="C2223" s="352"/>
    </row>
    <row r="2224" ht="15">
      <c r="C2224" s="352"/>
    </row>
    <row r="2225" ht="15">
      <c r="C2225" s="352"/>
    </row>
    <row r="2226" ht="15">
      <c r="C2226" s="352"/>
    </row>
    <row r="2227" ht="15">
      <c r="C2227" s="352"/>
    </row>
    <row r="2228" ht="15">
      <c r="C2228" s="352"/>
    </row>
    <row r="2229" ht="15">
      <c r="C2229" s="352"/>
    </row>
    <row r="2230" ht="15">
      <c r="C2230" s="352"/>
    </row>
    <row r="2231" ht="15">
      <c r="C2231" s="352"/>
    </row>
    <row r="2232" ht="15">
      <c r="C2232" s="352"/>
    </row>
    <row r="2233" ht="15">
      <c r="C2233" s="352"/>
    </row>
    <row r="2234" ht="15">
      <c r="C2234" s="352"/>
    </row>
    <row r="2235" ht="15">
      <c r="C2235" s="352"/>
    </row>
    <row r="2236" ht="15">
      <c r="C2236" s="352"/>
    </row>
    <row r="2237" ht="15">
      <c r="C2237" s="352"/>
    </row>
    <row r="2238" ht="15">
      <c r="C2238" s="352"/>
    </row>
    <row r="2239" ht="15">
      <c r="C2239" s="352"/>
    </row>
    <row r="2240" ht="15">
      <c r="C2240" s="352"/>
    </row>
    <row r="2241" ht="15">
      <c r="C2241" s="352"/>
    </row>
    <row r="2242" ht="15">
      <c r="C2242" s="352"/>
    </row>
    <row r="2243" ht="15">
      <c r="C2243" s="352"/>
    </row>
    <row r="2244" ht="15">
      <c r="C2244" s="352"/>
    </row>
    <row r="2245" ht="15">
      <c r="C2245" s="352"/>
    </row>
    <row r="2246" ht="15">
      <c r="C2246" s="352"/>
    </row>
    <row r="2247" ht="15">
      <c r="C2247" s="352"/>
    </row>
    <row r="2248" ht="15">
      <c r="C2248" s="352"/>
    </row>
    <row r="2249" ht="15">
      <c r="C2249" s="352"/>
    </row>
    <row r="2250" ht="15">
      <c r="C2250" s="352"/>
    </row>
    <row r="2251" ht="15">
      <c r="C2251" s="352"/>
    </row>
    <row r="2252" ht="15">
      <c r="C2252" s="352"/>
    </row>
    <row r="2253" ht="15">
      <c r="C2253" s="352"/>
    </row>
    <row r="2254" ht="15">
      <c r="C2254" s="352"/>
    </row>
    <row r="2255" ht="15">
      <c r="C2255" s="352"/>
    </row>
    <row r="2256" ht="15">
      <c r="C2256" s="352"/>
    </row>
    <row r="2257" ht="15">
      <c r="C2257" s="352"/>
    </row>
    <row r="2258" ht="15">
      <c r="C2258" s="352"/>
    </row>
    <row r="2259" ht="15">
      <c r="C2259" s="352"/>
    </row>
    <row r="2260" ht="15">
      <c r="C2260" s="352"/>
    </row>
    <row r="2261" ht="15">
      <c r="C2261" s="352"/>
    </row>
    <row r="2262" ht="15">
      <c r="C2262" s="352"/>
    </row>
    <row r="2263" ht="15">
      <c r="C2263" s="352"/>
    </row>
    <row r="2264" ht="15">
      <c r="C2264" s="352"/>
    </row>
    <row r="2265" ht="15">
      <c r="C2265" s="352"/>
    </row>
    <row r="2266" ht="15">
      <c r="C2266" s="352"/>
    </row>
    <row r="2267" ht="15">
      <c r="C2267" s="352"/>
    </row>
    <row r="2268" ht="15">
      <c r="C2268" s="352"/>
    </row>
    <row r="2269" ht="15">
      <c r="C2269" s="352"/>
    </row>
    <row r="2270" ht="15">
      <c r="C2270" s="352"/>
    </row>
    <row r="2271" ht="15">
      <c r="C2271" s="352"/>
    </row>
    <row r="2272" ht="15">
      <c r="C2272" s="352"/>
    </row>
    <row r="2273" ht="15">
      <c r="C2273" s="352"/>
    </row>
    <row r="2274" ht="15">
      <c r="C2274" s="352"/>
    </row>
    <row r="2275" ht="15">
      <c r="C2275" s="352"/>
    </row>
    <row r="2276" ht="15">
      <c r="C2276" s="352"/>
    </row>
    <row r="2277" ht="15">
      <c r="C2277" s="352"/>
    </row>
    <row r="2278" ht="15">
      <c r="C2278" s="352"/>
    </row>
    <row r="2279" ht="15">
      <c r="C2279" s="352"/>
    </row>
    <row r="2280" ht="15">
      <c r="C2280" s="352"/>
    </row>
    <row r="2281" ht="15">
      <c r="C2281" s="352"/>
    </row>
    <row r="2282" ht="15">
      <c r="C2282" s="352"/>
    </row>
    <row r="2283" ht="15">
      <c r="C2283" s="352"/>
    </row>
    <row r="2284" ht="15">
      <c r="C2284" s="352"/>
    </row>
    <row r="2285" ht="15">
      <c r="C2285" s="352"/>
    </row>
    <row r="2286" ht="15">
      <c r="C2286" s="352"/>
    </row>
    <row r="2287" ht="15">
      <c r="C2287" s="352"/>
    </row>
    <row r="2288" ht="15">
      <c r="C2288" s="352"/>
    </row>
    <row r="2289" ht="15">
      <c r="C2289" s="352"/>
    </row>
    <row r="2290" ht="15">
      <c r="C2290" s="352"/>
    </row>
    <row r="2291" ht="15">
      <c r="C2291" s="352"/>
    </row>
    <row r="2292" ht="15">
      <c r="C2292" s="352"/>
    </row>
    <row r="2293" ht="15">
      <c r="C2293" s="352"/>
    </row>
    <row r="2294" ht="15">
      <c r="C2294" s="352"/>
    </row>
    <row r="2295" ht="15">
      <c r="C2295" s="352"/>
    </row>
    <row r="2296" ht="15">
      <c r="C2296" s="352"/>
    </row>
    <row r="2297" ht="15">
      <c r="C2297" s="352"/>
    </row>
    <row r="2298" ht="15">
      <c r="C2298" s="352"/>
    </row>
    <row r="2299" ht="15">
      <c r="C2299" s="352"/>
    </row>
    <row r="2300" ht="15">
      <c r="C2300" s="352"/>
    </row>
    <row r="2301" ht="15">
      <c r="C2301" s="352"/>
    </row>
    <row r="2302" ht="15">
      <c r="C2302" s="352"/>
    </row>
    <row r="2303" ht="15">
      <c r="C2303" s="352"/>
    </row>
    <row r="2304" ht="15">
      <c r="C2304" s="352"/>
    </row>
    <row r="2305" ht="15">
      <c r="C2305" s="352"/>
    </row>
    <row r="2306" ht="15">
      <c r="C2306" s="352"/>
    </row>
    <row r="2307" ht="15">
      <c r="C2307" s="352"/>
    </row>
    <row r="2308" ht="15">
      <c r="C2308" s="352"/>
    </row>
    <row r="2309" ht="15">
      <c r="C2309" s="352"/>
    </row>
    <row r="2310" ht="15">
      <c r="C2310" s="352"/>
    </row>
    <row r="2311" ht="15">
      <c r="C2311" s="352"/>
    </row>
    <row r="2312" ht="15">
      <c r="C2312" s="352"/>
    </row>
    <row r="2313" ht="15">
      <c r="C2313" s="352"/>
    </row>
    <row r="2314" ht="15">
      <c r="C2314" s="352"/>
    </row>
    <row r="2315" ht="15">
      <c r="C2315" s="352"/>
    </row>
    <row r="2316" ht="15">
      <c r="C2316" s="352"/>
    </row>
    <row r="2317" ht="15">
      <c r="C2317" s="352"/>
    </row>
    <row r="2318" ht="15">
      <c r="C2318" s="352"/>
    </row>
    <row r="2319" ht="15">
      <c r="C2319" s="352"/>
    </row>
    <row r="2320" ht="15">
      <c r="C2320" s="352"/>
    </row>
    <row r="2321" ht="15">
      <c r="C2321" s="352"/>
    </row>
    <row r="2322" ht="15">
      <c r="C2322" s="352"/>
    </row>
    <row r="2323" ht="15">
      <c r="C2323" s="352"/>
    </row>
    <row r="2324" ht="15">
      <c r="C2324" s="352"/>
    </row>
    <row r="2325" ht="15">
      <c r="C2325" s="352"/>
    </row>
    <row r="2326" ht="15">
      <c r="C2326" s="352"/>
    </row>
    <row r="2327" ht="15">
      <c r="C2327" s="352"/>
    </row>
    <row r="2328" ht="15">
      <c r="C2328" s="352"/>
    </row>
    <row r="2329" ht="15">
      <c r="C2329" s="352"/>
    </row>
    <row r="2330" ht="15">
      <c r="C2330" s="352"/>
    </row>
    <row r="2331" ht="15">
      <c r="C2331" s="352"/>
    </row>
    <row r="2332" ht="15">
      <c r="C2332" s="352"/>
    </row>
    <row r="2333" ht="15">
      <c r="C2333" s="352"/>
    </row>
    <row r="2334" ht="15">
      <c r="C2334" s="352"/>
    </row>
    <row r="2335" ht="15">
      <c r="C2335" s="352"/>
    </row>
    <row r="2336" ht="15">
      <c r="C2336" s="352"/>
    </row>
    <row r="2337" ht="15">
      <c r="C2337" s="352"/>
    </row>
    <row r="2338" ht="15">
      <c r="C2338" s="352"/>
    </row>
    <row r="2339" ht="15">
      <c r="C2339" s="352"/>
    </row>
    <row r="2340" ht="15">
      <c r="C2340" s="352"/>
    </row>
    <row r="2341" ht="15">
      <c r="C2341" s="352"/>
    </row>
    <row r="2342" ht="15">
      <c r="C2342" s="352"/>
    </row>
    <row r="2343" ht="15">
      <c r="C2343" s="352"/>
    </row>
    <row r="2344" ht="15">
      <c r="C2344" s="352"/>
    </row>
    <row r="2345" ht="15">
      <c r="C2345" s="352"/>
    </row>
    <row r="2346" ht="15">
      <c r="C2346" s="352"/>
    </row>
    <row r="2347" ht="15">
      <c r="C2347" s="352"/>
    </row>
    <row r="2348" ht="15">
      <c r="C2348" s="352"/>
    </row>
    <row r="2349" ht="15">
      <c r="C2349" s="352"/>
    </row>
    <row r="2350" ht="15">
      <c r="C2350" s="352"/>
    </row>
    <row r="2351" ht="15">
      <c r="C2351" s="352"/>
    </row>
    <row r="2352" ht="15">
      <c r="C2352" s="352"/>
    </row>
    <row r="2353" ht="15">
      <c r="C2353" s="352"/>
    </row>
    <row r="2354" ht="15">
      <c r="C2354" s="352"/>
    </row>
    <row r="2355" ht="15">
      <c r="C2355" s="352"/>
    </row>
    <row r="2356" ht="15">
      <c r="C2356" s="352"/>
    </row>
    <row r="2357" ht="15">
      <c r="C2357" s="352"/>
    </row>
    <row r="2358" ht="15">
      <c r="C2358" s="352"/>
    </row>
    <row r="2359" ht="15">
      <c r="C2359" s="352"/>
    </row>
    <row r="2360" ht="15">
      <c r="C2360" s="352"/>
    </row>
    <row r="2361" ht="15">
      <c r="C2361" s="352"/>
    </row>
    <row r="2362" ht="15">
      <c r="C2362" s="352"/>
    </row>
    <row r="2363" ht="15">
      <c r="C2363" s="352"/>
    </row>
    <row r="2364" ht="15">
      <c r="C2364" s="352"/>
    </row>
    <row r="2365" ht="15">
      <c r="C2365" s="352"/>
    </row>
    <row r="2366" ht="15">
      <c r="C2366" s="352"/>
    </row>
    <row r="2367" ht="15">
      <c r="C2367" s="352"/>
    </row>
    <row r="2368" ht="15">
      <c r="C2368" s="352"/>
    </row>
    <row r="2369" ht="15">
      <c r="C2369" s="352"/>
    </row>
    <row r="2370" ht="15">
      <c r="C2370" s="352"/>
    </row>
    <row r="2371" ht="15">
      <c r="C2371" s="352"/>
    </row>
    <row r="2372" ht="15">
      <c r="C2372" s="352"/>
    </row>
    <row r="2373" ht="15">
      <c r="C2373" s="352"/>
    </row>
    <row r="2374" ht="15">
      <c r="C2374" s="352"/>
    </row>
    <row r="2375" ht="15">
      <c r="C2375" s="352"/>
    </row>
    <row r="2376" ht="15">
      <c r="C2376" s="352"/>
    </row>
    <row r="2377" ht="15">
      <c r="C2377" s="352"/>
    </row>
    <row r="2378" ht="15">
      <c r="C2378" s="352"/>
    </row>
    <row r="2379" ht="15">
      <c r="C2379" s="352"/>
    </row>
    <row r="2380" ht="15">
      <c r="C2380" s="352"/>
    </row>
    <row r="2381" ht="15">
      <c r="C2381" s="352"/>
    </row>
    <row r="2382" ht="15">
      <c r="C2382" s="352"/>
    </row>
    <row r="2383" ht="15">
      <c r="C2383" s="352"/>
    </row>
    <row r="2384" ht="15">
      <c r="C2384" s="352"/>
    </row>
    <row r="2385" ht="15">
      <c r="C2385" s="352"/>
    </row>
    <row r="2386" ht="15">
      <c r="C2386" s="352"/>
    </row>
    <row r="2387" ht="15">
      <c r="C2387" s="352"/>
    </row>
    <row r="2388" ht="15">
      <c r="C2388" s="352"/>
    </row>
    <row r="2389" ht="15">
      <c r="C2389" s="352"/>
    </row>
    <row r="2390" ht="15">
      <c r="C2390" s="352"/>
    </row>
    <row r="2391" ht="15">
      <c r="C2391" s="352"/>
    </row>
    <row r="2392" ht="15">
      <c r="C2392" s="352"/>
    </row>
    <row r="2393" ht="15">
      <c r="C2393" s="352"/>
    </row>
    <row r="2394" ht="15">
      <c r="C2394" s="352"/>
    </row>
    <row r="2395" ht="15">
      <c r="C2395" s="352"/>
    </row>
    <row r="2396" ht="15">
      <c r="C2396" s="352"/>
    </row>
    <row r="2397" ht="15">
      <c r="C2397" s="352"/>
    </row>
    <row r="2398" ht="15">
      <c r="C2398" s="352"/>
    </row>
    <row r="2399" ht="15">
      <c r="C2399" s="352"/>
    </row>
    <row r="2400" ht="15">
      <c r="C2400" s="352"/>
    </row>
    <row r="2401" ht="15">
      <c r="C2401" s="352"/>
    </row>
    <row r="2402" ht="15">
      <c r="C2402" s="352"/>
    </row>
    <row r="2403" ht="15">
      <c r="C2403" s="352"/>
    </row>
    <row r="2404" ht="15">
      <c r="C2404" s="352"/>
    </row>
    <row r="2405" ht="15">
      <c r="C2405" s="352"/>
    </row>
    <row r="2406" ht="15">
      <c r="C2406" s="352"/>
    </row>
    <row r="2407" ht="15">
      <c r="C2407" s="352"/>
    </row>
    <row r="2408" ht="15">
      <c r="C2408" s="352"/>
    </row>
    <row r="2409" ht="15">
      <c r="C2409" s="352"/>
    </row>
    <row r="2410" ht="15">
      <c r="C2410" s="352"/>
    </row>
    <row r="2411" ht="15">
      <c r="C2411" s="352"/>
    </row>
    <row r="2412" ht="15">
      <c r="C2412" s="352"/>
    </row>
    <row r="2413" ht="15">
      <c r="C2413" s="352"/>
    </row>
    <row r="2414" ht="15">
      <c r="C2414" s="352"/>
    </row>
    <row r="2415" ht="15">
      <c r="C2415" s="352"/>
    </row>
    <row r="2416" ht="15">
      <c r="C2416" s="352"/>
    </row>
    <row r="2417" ht="15">
      <c r="C2417" s="352"/>
    </row>
    <row r="2418" ht="15">
      <c r="C2418" s="352"/>
    </row>
    <row r="2419" ht="15">
      <c r="C2419" s="352"/>
    </row>
    <row r="2420" ht="15">
      <c r="C2420" s="352"/>
    </row>
    <row r="2421" ht="15">
      <c r="C2421" s="352"/>
    </row>
    <row r="2422" ht="15">
      <c r="C2422" s="352"/>
    </row>
    <row r="2423" ht="15">
      <c r="C2423" s="352"/>
    </row>
    <row r="2424" ht="15">
      <c r="C2424" s="352"/>
    </row>
    <row r="2425" ht="15">
      <c r="C2425" s="352"/>
    </row>
    <row r="2426" ht="15">
      <c r="C2426" s="352"/>
    </row>
    <row r="2427" ht="15">
      <c r="C2427" s="352"/>
    </row>
    <row r="2428" ht="15">
      <c r="C2428" s="352"/>
    </row>
    <row r="2429" ht="15">
      <c r="C2429" s="352"/>
    </row>
    <row r="2430" ht="15">
      <c r="C2430" s="352"/>
    </row>
    <row r="2431" ht="15">
      <c r="C2431" s="352"/>
    </row>
    <row r="2432" ht="15">
      <c r="C2432" s="352"/>
    </row>
    <row r="2433" ht="15">
      <c r="C2433" s="352"/>
    </row>
    <row r="2434" ht="15">
      <c r="C2434" s="352"/>
    </row>
    <row r="2435" ht="15">
      <c r="C2435" s="352"/>
    </row>
    <row r="2436" ht="15">
      <c r="C2436" s="352"/>
    </row>
    <row r="2437" ht="15">
      <c r="C2437" s="352"/>
    </row>
    <row r="2438" ht="15">
      <c r="C2438" s="352"/>
    </row>
    <row r="2439" ht="15">
      <c r="C2439" s="352"/>
    </row>
    <row r="2440" ht="15">
      <c r="C2440" s="352"/>
    </row>
    <row r="2441" ht="15">
      <c r="C2441" s="352"/>
    </row>
    <row r="2442" ht="15">
      <c r="C2442" s="352"/>
    </row>
    <row r="2443" ht="15">
      <c r="C2443" s="352"/>
    </row>
    <row r="2444" ht="15">
      <c r="C2444" s="352"/>
    </row>
    <row r="2445" ht="15">
      <c r="C2445" s="352"/>
    </row>
    <row r="2446" ht="15">
      <c r="C2446" s="352"/>
    </row>
    <row r="2447" ht="15">
      <c r="C2447" s="352"/>
    </row>
    <row r="2448" ht="15">
      <c r="C2448" s="352"/>
    </row>
    <row r="2449" ht="15">
      <c r="C2449" s="352"/>
    </row>
    <row r="2450" ht="15">
      <c r="C2450" s="352"/>
    </row>
    <row r="2451" ht="15">
      <c r="C2451" s="352"/>
    </row>
    <row r="2452" ht="15">
      <c r="C2452" s="352"/>
    </row>
    <row r="2453" ht="15">
      <c r="C2453" s="352"/>
    </row>
    <row r="2454" ht="15">
      <c r="C2454" s="352"/>
    </row>
    <row r="2455" ht="15">
      <c r="C2455" s="352"/>
    </row>
    <row r="2456" ht="15">
      <c r="C2456" s="352"/>
    </row>
    <row r="2457" ht="15">
      <c r="C2457" s="352"/>
    </row>
    <row r="2458" ht="15">
      <c r="C2458" s="352"/>
    </row>
    <row r="2459" ht="15">
      <c r="C2459" s="352"/>
    </row>
    <row r="2460" ht="15">
      <c r="C2460" s="352"/>
    </row>
    <row r="2461" ht="15">
      <c r="C2461" s="352"/>
    </row>
    <row r="2462" ht="15">
      <c r="C2462" s="352"/>
    </row>
    <row r="2463" ht="15">
      <c r="C2463" s="352"/>
    </row>
    <row r="2464" ht="15">
      <c r="C2464" s="352"/>
    </row>
    <row r="2465" ht="15">
      <c r="C2465" s="352"/>
    </row>
    <row r="2466" ht="15">
      <c r="C2466" s="352"/>
    </row>
    <row r="2467" ht="15">
      <c r="C2467" s="352"/>
    </row>
    <row r="2468" ht="15">
      <c r="C2468" s="352"/>
    </row>
    <row r="2469" ht="15">
      <c r="C2469" s="352"/>
    </row>
    <row r="2470" ht="15">
      <c r="C2470" s="352"/>
    </row>
    <row r="2471" ht="15">
      <c r="C2471" s="352"/>
    </row>
    <row r="2472" ht="15">
      <c r="C2472" s="352"/>
    </row>
    <row r="2473" ht="15">
      <c r="C2473" s="352"/>
    </row>
    <row r="2474" ht="15">
      <c r="C2474" s="352"/>
    </row>
    <row r="2475" ht="15">
      <c r="C2475" s="352"/>
    </row>
    <row r="2476" ht="15">
      <c r="C2476" s="352"/>
    </row>
    <row r="2477" ht="15">
      <c r="C2477" s="352"/>
    </row>
    <row r="2478" ht="15">
      <c r="C2478" s="352"/>
    </row>
    <row r="2479" ht="15">
      <c r="C2479" s="352"/>
    </row>
    <row r="2480" ht="15">
      <c r="C2480" s="352"/>
    </row>
    <row r="2481" ht="15">
      <c r="C2481" s="352"/>
    </row>
    <row r="2482" ht="15">
      <c r="C2482" s="352"/>
    </row>
    <row r="2483" ht="15">
      <c r="C2483" s="352"/>
    </row>
    <row r="2484" ht="15">
      <c r="C2484" s="352"/>
    </row>
    <row r="2485" ht="15">
      <c r="C2485" s="352"/>
    </row>
    <row r="2486" ht="15">
      <c r="C2486" s="352"/>
    </row>
    <row r="2487" ht="15">
      <c r="C2487" s="352"/>
    </row>
    <row r="2488" ht="15">
      <c r="C2488" s="352"/>
    </row>
    <row r="2489" ht="15">
      <c r="C2489" s="352"/>
    </row>
    <row r="2490" ht="15">
      <c r="C2490" s="352"/>
    </row>
    <row r="2491" ht="15">
      <c r="C2491" s="352"/>
    </row>
    <row r="2492" ht="15">
      <c r="C2492" s="352"/>
    </row>
    <row r="2493" ht="15">
      <c r="C2493" s="352"/>
    </row>
    <row r="2494" ht="15">
      <c r="C2494" s="352"/>
    </row>
    <row r="2495" ht="15">
      <c r="C2495" s="352"/>
    </row>
    <row r="2496" ht="15">
      <c r="C2496" s="352"/>
    </row>
    <row r="2497" ht="15">
      <c r="C2497" s="352"/>
    </row>
    <row r="2498" ht="15">
      <c r="C2498" s="352"/>
    </row>
    <row r="2499" ht="15">
      <c r="C2499" s="352"/>
    </row>
    <row r="2500" ht="15">
      <c r="C2500" s="352"/>
    </row>
    <row r="2501" ht="15">
      <c r="C2501" s="352"/>
    </row>
    <row r="2502" ht="15">
      <c r="C2502" s="352"/>
    </row>
    <row r="2503" ht="15">
      <c r="C2503" s="352"/>
    </row>
    <row r="2504" ht="15">
      <c r="C2504" s="352"/>
    </row>
    <row r="2505" ht="15">
      <c r="C2505" s="352"/>
    </row>
    <row r="2506" ht="15">
      <c r="C2506" s="352"/>
    </row>
    <row r="2507" ht="15">
      <c r="C2507" s="352"/>
    </row>
    <row r="2508" ht="15">
      <c r="C2508" s="352"/>
    </row>
    <row r="2509" ht="15">
      <c r="C2509" s="352"/>
    </row>
    <row r="2510" ht="15">
      <c r="C2510" s="352"/>
    </row>
    <row r="2511" ht="15">
      <c r="C2511" s="352"/>
    </row>
    <row r="2512" ht="15">
      <c r="C2512" s="352"/>
    </row>
    <row r="2513" ht="15">
      <c r="C2513" s="352"/>
    </row>
    <row r="2514" ht="15">
      <c r="C2514" s="352"/>
    </row>
    <row r="2515" ht="15">
      <c r="C2515" s="352"/>
    </row>
    <row r="2516" ht="15">
      <c r="C2516" s="352"/>
    </row>
    <row r="2517" ht="15">
      <c r="C2517" s="352"/>
    </row>
    <row r="2518" ht="15">
      <c r="C2518" s="352"/>
    </row>
    <row r="2519" ht="15">
      <c r="C2519" s="352"/>
    </row>
    <row r="2520" ht="15">
      <c r="C2520" s="352"/>
    </row>
    <row r="2521" ht="15">
      <c r="C2521" s="352"/>
    </row>
    <row r="2522" ht="15">
      <c r="C2522" s="352"/>
    </row>
    <row r="2523" ht="15">
      <c r="C2523" s="352"/>
    </row>
    <row r="2524" ht="15">
      <c r="C2524" s="352"/>
    </row>
    <row r="2525" ht="15">
      <c r="C2525" s="352"/>
    </row>
    <row r="2526" ht="15">
      <c r="C2526" s="352"/>
    </row>
    <row r="2527" ht="15">
      <c r="C2527" s="352"/>
    </row>
    <row r="2528" ht="15">
      <c r="C2528" s="352"/>
    </row>
    <row r="2529" ht="15">
      <c r="C2529" s="352"/>
    </row>
    <row r="2530" ht="15">
      <c r="C2530" s="352"/>
    </row>
    <row r="2531" ht="15">
      <c r="C2531" s="352"/>
    </row>
    <row r="2532" ht="15">
      <c r="C2532" s="352"/>
    </row>
    <row r="2533" ht="15">
      <c r="C2533" s="352"/>
    </row>
    <row r="2534" ht="15">
      <c r="C2534" s="352"/>
    </row>
    <row r="2535" ht="15">
      <c r="C2535" s="352"/>
    </row>
    <row r="2536" ht="15">
      <c r="C2536" s="352"/>
    </row>
    <row r="2537" ht="15">
      <c r="C2537" s="352"/>
    </row>
    <row r="2538" ht="15">
      <c r="C2538" s="352"/>
    </row>
    <row r="2539" ht="15">
      <c r="C2539" s="352"/>
    </row>
    <row r="2540" ht="15">
      <c r="C2540" s="352"/>
    </row>
    <row r="2541" ht="15">
      <c r="C2541" s="352"/>
    </row>
    <row r="2542" ht="15">
      <c r="C2542" s="352"/>
    </row>
    <row r="2543" ht="15">
      <c r="C2543" s="352"/>
    </row>
    <row r="2544" ht="15">
      <c r="C2544" s="352"/>
    </row>
    <row r="2545" ht="15">
      <c r="C2545" s="352"/>
    </row>
    <row r="2546" ht="15">
      <c r="C2546" s="352"/>
    </row>
    <row r="2547" ht="15">
      <c r="C2547" s="352"/>
    </row>
    <row r="2548" ht="15">
      <c r="C2548" s="352"/>
    </row>
    <row r="2549" ht="15">
      <c r="C2549" s="352"/>
    </row>
    <row r="2550" ht="15">
      <c r="C2550" s="352"/>
    </row>
    <row r="2551" ht="15">
      <c r="C2551" s="352"/>
    </row>
    <row r="2552" ht="15">
      <c r="C2552" s="352"/>
    </row>
    <row r="2553" ht="15">
      <c r="C2553" s="352"/>
    </row>
    <row r="2554" ht="15">
      <c r="C2554" s="352"/>
    </row>
    <row r="2555" ht="15">
      <c r="C2555" s="352"/>
    </row>
    <row r="2556" ht="15">
      <c r="C2556" s="352"/>
    </row>
    <row r="2557" ht="15">
      <c r="C2557" s="352"/>
    </row>
    <row r="2558" ht="15">
      <c r="C2558" s="352"/>
    </row>
    <row r="2559" ht="15">
      <c r="C2559" s="352"/>
    </row>
    <row r="2560" ht="15">
      <c r="C2560" s="352"/>
    </row>
    <row r="2561" ht="15">
      <c r="C2561" s="352"/>
    </row>
    <row r="2562" ht="15">
      <c r="C2562" s="352"/>
    </row>
    <row r="2563" ht="15">
      <c r="C2563" s="352"/>
    </row>
    <row r="2564" ht="15">
      <c r="C2564" s="352"/>
    </row>
    <row r="2565" ht="15">
      <c r="C2565" s="352"/>
    </row>
    <row r="2566" ht="15">
      <c r="C2566" s="352"/>
    </row>
    <row r="2567" ht="15">
      <c r="C2567" s="352"/>
    </row>
    <row r="2568" ht="15">
      <c r="C2568" s="352"/>
    </row>
    <row r="2569" ht="15">
      <c r="C2569" s="352"/>
    </row>
    <row r="2570" ht="15">
      <c r="C2570" s="352"/>
    </row>
    <row r="2571" ht="15">
      <c r="C2571" s="352"/>
    </row>
    <row r="2572" ht="15">
      <c r="C2572" s="352"/>
    </row>
    <row r="2573" ht="15">
      <c r="C2573" s="352"/>
    </row>
    <row r="2574" ht="15">
      <c r="C2574" s="352"/>
    </row>
    <row r="2575" ht="15">
      <c r="C2575" s="352"/>
    </row>
    <row r="2576" ht="15">
      <c r="C2576" s="352"/>
    </row>
    <row r="2577" ht="15">
      <c r="C2577" s="352"/>
    </row>
    <row r="2578" ht="15">
      <c r="C2578" s="352"/>
    </row>
    <row r="2579" ht="15">
      <c r="C2579" s="352"/>
    </row>
    <row r="2580" ht="15">
      <c r="C2580" s="352"/>
    </row>
    <row r="2581" ht="15">
      <c r="C2581" s="352"/>
    </row>
    <row r="2582" ht="15">
      <c r="C2582" s="352"/>
    </row>
    <row r="2583" ht="15">
      <c r="C2583" s="352"/>
    </row>
    <row r="2584" ht="15">
      <c r="C2584" s="352"/>
    </row>
    <row r="2585" ht="15">
      <c r="C2585" s="352"/>
    </row>
    <row r="2586" ht="15">
      <c r="C2586" s="352"/>
    </row>
    <row r="2587" ht="15">
      <c r="C2587" s="352"/>
    </row>
    <row r="2588" ht="15">
      <c r="C2588" s="352"/>
    </row>
    <row r="2589" ht="15">
      <c r="C2589" s="352"/>
    </row>
    <row r="2590" ht="15">
      <c r="C2590" s="352"/>
    </row>
    <row r="2591" ht="15">
      <c r="C2591" s="352"/>
    </row>
    <row r="2592" ht="15">
      <c r="C2592" s="352"/>
    </row>
    <row r="2593" ht="15">
      <c r="C2593" s="352"/>
    </row>
    <row r="2594" ht="15">
      <c r="C2594" s="352"/>
    </row>
    <row r="2595" ht="15">
      <c r="C2595" s="352"/>
    </row>
    <row r="2596" ht="15">
      <c r="C2596" s="352"/>
    </row>
    <row r="2597" ht="15">
      <c r="C2597" s="352"/>
    </row>
    <row r="2598" ht="15">
      <c r="C2598" s="352"/>
    </row>
    <row r="2599" ht="15">
      <c r="C2599" s="352"/>
    </row>
    <row r="2600" ht="15">
      <c r="C2600" s="352"/>
    </row>
    <row r="2601" ht="15">
      <c r="C2601" s="352"/>
    </row>
    <row r="2602" ht="15">
      <c r="C2602" s="352"/>
    </row>
    <row r="2603" ht="15">
      <c r="C2603" s="352"/>
    </row>
    <row r="2604" ht="15">
      <c r="C2604" s="352"/>
    </row>
    <row r="2605" ht="15">
      <c r="C2605" s="352"/>
    </row>
    <row r="2606" ht="15">
      <c r="C2606" s="352"/>
    </row>
    <row r="2607" ht="15">
      <c r="C2607" s="352"/>
    </row>
    <row r="2608" ht="15">
      <c r="C2608" s="352"/>
    </row>
    <row r="2609" ht="15">
      <c r="C2609" s="352"/>
    </row>
    <row r="2610" ht="15">
      <c r="C2610" s="352"/>
    </row>
    <row r="2611" ht="15">
      <c r="C2611" s="352"/>
    </row>
    <row r="2612" ht="15">
      <c r="C2612" s="352"/>
    </row>
    <row r="2613" ht="15">
      <c r="C2613" s="352"/>
    </row>
    <row r="2614" ht="15">
      <c r="C2614" s="352"/>
    </row>
    <row r="2615" ht="15">
      <c r="C2615" s="352"/>
    </row>
    <row r="2616" ht="15">
      <c r="C2616" s="352"/>
    </row>
    <row r="2617" ht="15">
      <c r="C2617" s="352"/>
    </row>
    <row r="2618" ht="15">
      <c r="C2618" s="352"/>
    </row>
    <row r="2619" ht="15">
      <c r="C2619" s="352"/>
    </row>
    <row r="2620" ht="15">
      <c r="C2620" s="352"/>
    </row>
    <row r="2621" ht="15">
      <c r="C2621" s="352"/>
    </row>
    <row r="2622" ht="15">
      <c r="C2622" s="352"/>
    </row>
    <row r="2623" ht="15">
      <c r="C2623" s="352"/>
    </row>
    <row r="2624" ht="15">
      <c r="C2624" s="352"/>
    </row>
    <row r="2625" ht="15">
      <c r="C2625" s="352"/>
    </row>
    <row r="2626" ht="15">
      <c r="C2626" s="352"/>
    </row>
    <row r="2627" ht="15">
      <c r="C2627" s="352"/>
    </row>
    <row r="2628" ht="15">
      <c r="C2628" s="352"/>
    </row>
    <row r="2629" ht="15">
      <c r="C2629" s="352"/>
    </row>
    <row r="2630" ht="15">
      <c r="C2630" s="352"/>
    </row>
    <row r="2631" ht="15">
      <c r="C2631" s="352"/>
    </row>
    <row r="2632" ht="15">
      <c r="C2632" s="352"/>
    </row>
    <row r="2633" ht="15">
      <c r="C2633" s="352"/>
    </row>
    <row r="2634" ht="15">
      <c r="C2634" s="352"/>
    </row>
    <row r="2635" ht="15">
      <c r="C2635" s="352"/>
    </row>
    <row r="2636" ht="15">
      <c r="C2636" s="352"/>
    </row>
    <row r="2637" ht="15">
      <c r="C2637" s="352"/>
    </row>
    <row r="2638" ht="15">
      <c r="C2638" s="352"/>
    </row>
    <row r="2639" ht="15">
      <c r="C2639" s="352"/>
    </row>
    <row r="2640" ht="15">
      <c r="C2640" s="352"/>
    </row>
    <row r="2641" ht="15">
      <c r="C2641" s="352"/>
    </row>
    <row r="2642" ht="15">
      <c r="C2642" s="352"/>
    </row>
    <row r="2643" ht="15">
      <c r="C2643" s="352"/>
    </row>
    <row r="2644" ht="15">
      <c r="C2644" s="352"/>
    </row>
    <row r="2645" ht="15">
      <c r="C2645" s="352"/>
    </row>
    <row r="2646" ht="15">
      <c r="C2646" s="352"/>
    </row>
    <row r="2647" ht="15">
      <c r="C2647" s="352"/>
    </row>
    <row r="2648" ht="15">
      <c r="C2648" s="352"/>
    </row>
    <row r="2649" ht="15">
      <c r="C2649" s="352"/>
    </row>
    <row r="2650" ht="15">
      <c r="C2650" s="352"/>
    </row>
    <row r="2651" ht="15">
      <c r="C2651" s="352"/>
    </row>
    <row r="2652" ht="15">
      <c r="C2652" s="352"/>
    </row>
    <row r="2653" ht="15">
      <c r="C2653" s="352"/>
    </row>
    <row r="2654" ht="15">
      <c r="C2654" s="352"/>
    </row>
    <row r="2655" ht="15">
      <c r="C2655" s="352"/>
    </row>
    <row r="2656" ht="15">
      <c r="C2656" s="352"/>
    </row>
    <row r="2657" ht="15">
      <c r="C2657" s="352"/>
    </row>
    <row r="2658" ht="15">
      <c r="C2658" s="352"/>
    </row>
    <row r="2659" ht="15">
      <c r="C2659" s="352"/>
    </row>
    <row r="2660" ht="15">
      <c r="C2660" s="352"/>
    </row>
    <row r="2661" ht="15">
      <c r="C2661" s="352"/>
    </row>
    <row r="2662" ht="15">
      <c r="C2662" s="352"/>
    </row>
    <row r="2663" ht="15">
      <c r="C2663" s="352"/>
    </row>
    <row r="2664" ht="15">
      <c r="C2664" s="352"/>
    </row>
    <row r="2665" ht="15">
      <c r="C2665" s="352"/>
    </row>
    <row r="2666" ht="15">
      <c r="C2666" s="352"/>
    </row>
    <row r="2667" ht="15">
      <c r="C2667" s="352"/>
    </row>
    <row r="2668" ht="15">
      <c r="C2668" s="352"/>
    </row>
    <row r="2669" ht="15">
      <c r="C2669" s="352"/>
    </row>
    <row r="2670" ht="15">
      <c r="C2670" s="352"/>
    </row>
    <row r="2671" ht="15">
      <c r="C2671" s="352"/>
    </row>
    <row r="2672" ht="15">
      <c r="C2672" s="352"/>
    </row>
    <row r="2673" ht="15">
      <c r="C2673" s="352"/>
    </row>
    <row r="2674" ht="15">
      <c r="C2674" s="352"/>
    </row>
    <row r="2675" ht="15">
      <c r="C2675" s="352"/>
    </row>
    <row r="2676" ht="15">
      <c r="C2676" s="352"/>
    </row>
    <row r="2677" ht="15">
      <c r="C2677" s="352"/>
    </row>
    <row r="2678" ht="15">
      <c r="C2678" s="352"/>
    </row>
    <row r="2679" ht="15">
      <c r="C2679" s="352"/>
    </row>
    <row r="2680" ht="15">
      <c r="C2680" s="352"/>
    </row>
    <row r="2681" ht="15">
      <c r="C2681" s="352"/>
    </row>
    <row r="2682" ht="15">
      <c r="C2682" s="352"/>
    </row>
    <row r="2683" ht="15">
      <c r="C2683" s="352"/>
    </row>
    <row r="2684" ht="15">
      <c r="C2684" s="352"/>
    </row>
    <row r="2685" ht="15">
      <c r="C2685" s="352"/>
    </row>
    <row r="2686" ht="15">
      <c r="C2686" s="352"/>
    </row>
    <row r="2687" ht="15">
      <c r="C2687" s="352"/>
    </row>
    <row r="2688" ht="15">
      <c r="C2688" s="352"/>
    </row>
    <row r="2689" ht="15">
      <c r="C2689" s="352"/>
    </row>
    <row r="2690" ht="15">
      <c r="C2690" s="352"/>
    </row>
    <row r="2691" ht="15">
      <c r="C2691" s="352"/>
    </row>
    <row r="2692" ht="15">
      <c r="C2692" s="352"/>
    </row>
    <row r="2693" ht="15">
      <c r="C2693" s="352"/>
    </row>
    <row r="2694" ht="15">
      <c r="C2694" s="352"/>
    </row>
    <row r="2695" ht="15">
      <c r="C2695" s="352"/>
    </row>
    <row r="2696" ht="15">
      <c r="C2696" s="352"/>
    </row>
    <row r="2697" ht="15">
      <c r="C2697" s="352"/>
    </row>
    <row r="2698" ht="15">
      <c r="C2698" s="352"/>
    </row>
    <row r="2699" ht="15">
      <c r="C2699" s="352"/>
    </row>
    <row r="2700" ht="15">
      <c r="C2700" s="352"/>
    </row>
    <row r="2701" ht="15">
      <c r="C2701" s="352"/>
    </row>
    <row r="2702" ht="15">
      <c r="C2702" s="352"/>
    </row>
    <row r="2703" ht="15">
      <c r="C2703" s="352"/>
    </row>
    <row r="2704" ht="15">
      <c r="C2704" s="352"/>
    </row>
    <row r="2705" ht="15">
      <c r="C2705" s="352"/>
    </row>
    <row r="2706" ht="15">
      <c r="C2706" s="352"/>
    </row>
    <row r="2707" ht="15">
      <c r="C2707" s="352"/>
    </row>
    <row r="2708" ht="15">
      <c r="C2708" s="352"/>
    </row>
    <row r="2709" ht="15">
      <c r="C2709" s="352"/>
    </row>
    <row r="2710" ht="15">
      <c r="C2710" s="352"/>
    </row>
    <row r="2711" ht="15">
      <c r="C2711" s="352"/>
    </row>
    <row r="2712" ht="15">
      <c r="C2712" s="352"/>
    </row>
    <row r="2713" ht="15">
      <c r="C2713" s="352"/>
    </row>
    <row r="2714" ht="15">
      <c r="C2714" s="352"/>
    </row>
    <row r="2715" ht="15">
      <c r="C2715" s="352"/>
    </row>
    <row r="2716" ht="15">
      <c r="C2716" s="352"/>
    </row>
    <row r="2717" ht="15">
      <c r="C2717" s="352"/>
    </row>
    <row r="2718" ht="15">
      <c r="C2718" s="352"/>
    </row>
    <row r="2719" ht="15">
      <c r="C2719" s="352"/>
    </row>
    <row r="2720" ht="15">
      <c r="C2720" s="352"/>
    </row>
    <row r="2721" ht="15">
      <c r="C2721" s="352"/>
    </row>
    <row r="2722" ht="15">
      <c r="C2722" s="352"/>
    </row>
    <row r="2723" ht="15">
      <c r="C2723" s="352"/>
    </row>
    <row r="2724" ht="15">
      <c r="C2724" s="352"/>
    </row>
    <row r="2725" ht="15">
      <c r="C2725" s="352"/>
    </row>
    <row r="2726" ht="15">
      <c r="C2726" s="352"/>
    </row>
    <row r="2727" ht="15">
      <c r="C2727" s="352"/>
    </row>
    <row r="2728" ht="15">
      <c r="C2728" s="352"/>
    </row>
    <row r="2729" ht="15">
      <c r="C2729" s="352"/>
    </row>
    <row r="2730" ht="15">
      <c r="C2730" s="352"/>
    </row>
    <row r="2731" ht="15">
      <c r="C2731" s="352"/>
    </row>
    <row r="2732" ht="15">
      <c r="C2732" s="352"/>
    </row>
    <row r="2733" ht="15">
      <c r="C2733" s="352"/>
    </row>
    <row r="2734" ht="15">
      <c r="C2734" s="352"/>
    </row>
    <row r="2735" ht="15">
      <c r="C2735" s="352"/>
    </row>
    <row r="2736" ht="15">
      <c r="C2736" s="352"/>
    </row>
    <row r="2737" ht="15">
      <c r="C2737" s="352"/>
    </row>
    <row r="2738" ht="15">
      <c r="C2738" s="352"/>
    </row>
    <row r="2739" ht="15">
      <c r="C2739" s="352"/>
    </row>
    <row r="2740" ht="15">
      <c r="C2740" s="352"/>
    </row>
    <row r="2741" ht="15">
      <c r="C2741" s="352"/>
    </row>
    <row r="2742" ht="15">
      <c r="C2742" s="352"/>
    </row>
    <row r="2743" ht="15">
      <c r="C2743" s="352"/>
    </row>
    <row r="2744" ht="15">
      <c r="C2744" s="352"/>
    </row>
    <row r="2745" ht="15">
      <c r="C2745" s="352"/>
    </row>
    <row r="2746" ht="15">
      <c r="C2746" s="352"/>
    </row>
    <row r="2747" ht="15">
      <c r="C2747" s="352"/>
    </row>
    <row r="2748" ht="15">
      <c r="C2748" s="352"/>
    </row>
    <row r="2749" ht="15">
      <c r="C2749" s="352"/>
    </row>
    <row r="2750" ht="15">
      <c r="C2750" s="352"/>
    </row>
    <row r="2751" ht="15">
      <c r="C2751" s="352"/>
    </row>
    <row r="2752" ht="15">
      <c r="C2752" s="352"/>
    </row>
    <row r="2753" ht="15">
      <c r="C2753" s="352"/>
    </row>
    <row r="2754" ht="15">
      <c r="C2754" s="352"/>
    </row>
    <row r="2755" ht="15">
      <c r="C2755" s="352"/>
    </row>
    <row r="2756" ht="15">
      <c r="C2756" s="352"/>
    </row>
    <row r="2757" ht="15">
      <c r="C2757" s="352"/>
    </row>
    <row r="2758" ht="15">
      <c r="C2758" s="352"/>
    </row>
    <row r="2759" ht="15">
      <c r="C2759" s="352"/>
    </row>
    <row r="2760" ht="15">
      <c r="C2760" s="352"/>
    </row>
    <row r="2761" ht="15">
      <c r="C2761" s="352"/>
    </row>
    <row r="2762" ht="15">
      <c r="C2762" s="352"/>
    </row>
    <row r="2763" ht="15">
      <c r="C2763" s="352"/>
    </row>
    <row r="2764" ht="15">
      <c r="C2764" s="352"/>
    </row>
    <row r="2765" ht="15">
      <c r="C2765" s="352"/>
    </row>
    <row r="2766" ht="15">
      <c r="C2766" s="352"/>
    </row>
    <row r="2767" ht="15">
      <c r="C2767" s="352"/>
    </row>
    <row r="2768" ht="15">
      <c r="C2768" s="352"/>
    </row>
    <row r="2769" ht="15">
      <c r="C2769" s="352"/>
    </row>
    <row r="2770" ht="15">
      <c r="C2770" s="352"/>
    </row>
    <row r="2771" ht="15">
      <c r="C2771" s="352"/>
    </row>
    <row r="2772" ht="15">
      <c r="C2772" s="352"/>
    </row>
    <row r="2773" ht="15">
      <c r="C2773" s="352"/>
    </row>
    <row r="2774" ht="15">
      <c r="C2774" s="352"/>
    </row>
    <row r="2775" ht="15">
      <c r="C2775" s="352"/>
    </row>
    <row r="2776" ht="15">
      <c r="C2776" s="352"/>
    </row>
    <row r="2777" ht="15">
      <c r="C2777" s="352"/>
    </row>
    <row r="2778" ht="15">
      <c r="C2778" s="352"/>
    </row>
    <row r="2779" ht="15">
      <c r="C2779" s="352"/>
    </row>
    <row r="2780" ht="15">
      <c r="C2780" s="352"/>
    </row>
    <row r="2781" ht="15">
      <c r="C2781" s="352"/>
    </row>
    <row r="2782" ht="15">
      <c r="C2782" s="352"/>
    </row>
    <row r="2783" ht="15">
      <c r="C2783" s="352"/>
    </row>
    <row r="2784" ht="15">
      <c r="C2784" s="352"/>
    </row>
    <row r="2785" ht="15">
      <c r="C2785" s="352"/>
    </row>
    <row r="2786" ht="15">
      <c r="C2786" s="352"/>
    </row>
    <row r="2787" ht="15">
      <c r="C2787" s="352"/>
    </row>
    <row r="2788" ht="15">
      <c r="C2788" s="352"/>
    </row>
    <row r="2789" ht="15">
      <c r="C2789" s="352"/>
    </row>
    <row r="2790" ht="15">
      <c r="C2790" s="352"/>
    </row>
    <row r="2791" ht="15">
      <c r="C2791" s="352"/>
    </row>
    <row r="2792" ht="15">
      <c r="C2792" s="352"/>
    </row>
    <row r="2793" ht="15">
      <c r="C2793" s="352"/>
    </row>
    <row r="2794" ht="15">
      <c r="C2794" s="352"/>
    </row>
    <row r="2795" ht="15">
      <c r="C2795" s="352"/>
    </row>
    <row r="2796" ht="15">
      <c r="C2796" s="352"/>
    </row>
    <row r="2797" ht="15">
      <c r="C2797" s="352"/>
    </row>
    <row r="2798" ht="15">
      <c r="C2798" s="352"/>
    </row>
    <row r="2799" ht="15">
      <c r="C2799" s="352"/>
    </row>
    <row r="2800" ht="15">
      <c r="C2800" s="352"/>
    </row>
    <row r="2801" ht="15">
      <c r="C2801" s="352"/>
    </row>
    <row r="2802" ht="15">
      <c r="C2802" s="352"/>
    </row>
    <row r="2803" ht="15">
      <c r="C2803" s="352"/>
    </row>
    <row r="2804" ht="15">
      <c r="C2804" s="352"/>
    </row>
    <row r="2805" ht="15">
      <c r="C2805" s="352"/>
    </row>
    <row r="2806" ht="15">
      <c r="C2806" s="352"/>
    </row>
    <row r="2807" ht="15">
      <c r="C2807" s="352"/>
    </row>
    <row r="2808" ht="15">
      <c r="C2808" s="352"/>
    </row>
    <row r="2809" ht="15">
      <c r="C2809" s="352"/>
    </row>
    <row r="2810" ht="15">
      <c r="C2810" s="352"/>
    </row>
    <row r="2811" ht="15">
      <c r="C2811" s="352"/>
    </row>
    <row r="2812" ht="15">
      <c r="C2812" s="352"/>
    </row>
    <row r="2813" ht="15">
      <c r="C2813" s="352"/>
    </row>
    <row r="2814" ht="15">
      <c r="C2814" s="352"/>
    </row>
    <row r="2815" ht="15">
      <c r="C2815" s="352"/>
    </row>
    <row r="2816" ht="15">
      <c r="C2816" s="352"/>
    </row>
    <row r="2817" ht="15">
      <c r="C2817" s="352"/>
    </row>
    <row r="2818" ht="15">
      <c r="C2818" s="352"/>
    </row>
    <row r="2819" ht="15">
      <c r="C2819" s="352"/>
    </row>
    <row r="2820" ht="15">
      <c r="C2820" s="352"/>
    </row>
    <row r="2821" ht="15">
      <c r="C2821" s="352"/>
    </row>
    <row r="2822" ht="15">
      <c r="C2822" s="352"/>
    </row>
    <row r="2823" ht="15">
      <c r="C2823" s="352"/>
    </row>
    <row r="2824" ht="15">
      <c r="C2824" s="352"/>
    </row>
    <row r="2825" ht="15">
      <c r="C2825" s="352"/>
    </row>
    <row r="2826" ht="15">
      <c r="C2826" s="352"/>
    </row>
    <row r="2827" ht="15">
      <c r="C2827" s="352"/>
    </row>
    <row r="2828" ht="15">
      <c r="C2828" s="352"/>
    </row>
    <row r="2829" ht="15">
      <c r="C2829" s="352"/>
    </row>
    <row r="2830" ht="15">
      <c r="C2830" s="352"/>
    </row>
    <row r="2831" ht="15">
      <c r="C2831" s="352"/>
    </row>
    <row r="2832" ht="15">
      <c r="C2832" s="352"/>
    </row>
    <row r="2833" ht="15">
      <c r="C2833" s="352"/>
    </row>
    <row r="2834" ht="15">
      <c r="C2834" s="352"/>
    </row>
    <row r="2835" ht="15">
      <c r="C2835" s="352"/>
    </row>
    <row r="2836" ht="15">
      <c r="C2836" s="352"/>
    </row>
    <row r="2837" ht="15">
      <c r="C2837" s="352"/>
    </row>
    <row r="2838" ht="15">
      <c r="C2838" s="352"/>
    </row>
    <row r="2839" ht="15">
      <c r="C2839" s="352"/>
    </row>
    <row r="2840" ht="15">
      <c r="C2840" s="352"/>
    </row>
    <row r="2841" ht="15">
      <c r="C2841" s="352"/>
    </row>
    <row r="2842" ht="15">
      <c r="C2842" s="352"/>
    </row>
    <row r="2843" ht="15">
      <c r="C2843" s="352"/>
    </row>
    <row r="2844" ht="15">
      <c r="C2844" s="352"/>
    </row>
    <row r="2845" ht="15">
      <c r="C2845" s="352"/>
    </row>
    <row r="2846" ht="15">
      <c r="C2846" s="352"/>
    </row>
    <row r="2847" ht="15">
      <c r="C2847" s="352"/>
    </row>
    <row r="2848" ht="15">
      <c r="C2848" s="352"/>
    </row>
    <row r="2849" ht="15">
      <c r="C2849" s="352"/>
    </row>
    <row r="2850" ht="15">
      <c r="C2850" s="352"/>
    </row>
    <row r="2851" ht="15">
      <c r="C2851" s="352"/>
    </row>
    <row r="2852" ht="15">
      <c r="C2852" s="352"/>
    </row>
    <row r="2853" ht="15">
      <c r="C2853" s="352"/>
    </row>
    <row r="2854" ht="15">
      <c r="C2854" s="352"/>
    </row>
    <row r="2855" ht="15">
      <c r="C2855" s="352"/>
    </row>
    <row r="2856" ht="15">
      <c r="C2856" s="352"/>
    </row>
    <row r="2857" ht="15">
      <c r="C2857" s="352"/>
    </row>
    <row r="2858" ht="15">
      <c r="C2858" s="352"/>
    </row>
    <row r="2859" ht="15">
      <c r="C2859" s="352"/>
    </row>
    <row r="2860" ht="15">
      <c r="C2860" s="352"/>
    </row>
    <row r="2861" ht="15">
      <c r="C2861" s="352"/>
    </row>
    <row r="2862" ht="15">
      <c r="C2862" s="352"/>
    </row>
    <row r="2863" ht="15">
      <c r="C2863" s="352"/>
    </row>
    <row r="2864" ht="15">
      <c r="C2864" s="352"/>
    </row>
    <row r="2865" ht="15">
      <c r="C2865" s="352"/>
    </row>
    <row r="2866" ht="15">
      <c r="C2866" s="352"/>
    </row>
    <row r="2867" ht="15">
      <c r="C2867" s="352"/>
    </row>
    <row r="2868" ht="15">
      <c r="C2868" s="352"/>
    </row>
    <row r="2869" ht="15">
      <c r="C2869" s="352"/>
    </row>
    <row r="2870" ht="15">
      <c r="C2870" s="352"/>
    </row>
    <row r="2871" ht="15">
      <c r="C2871" s="352"/>
    </row>
    <row r="2872" ht="15">
      <c r="C2872" s="352"/>
    </row>
    <row r="2873" ht="15">
      <c r="C2873" s="352"/>
    </row>
    <row r="2874" ht="15">
      <c r="C2874" s="352"/>
    </row>
    <row r="2875" ht="15">
      <c r="C2875" s="352"/>
    </row>
    <row r="2876" ht="15">
      <c r="C2876" s="352"/>
    </row>
    <row r="2877" ht="15">
      <c r="C2877" s="352"/>
    </row>
    <row r="2878" ht="15">
      <c r="C2878" s="352"/>
    </row>
    <row r="2879" ht="15">
      <c r="C2879" s="352"/>
    </row>
    <row r="2880" ht="15">
      <c r="C2880" s="352"/>
    </row>
    <row r="2881" ht="15">
      <c r="C2881" s="352"/>
    </row>
    <row r="2882" ht="15">
      <c r="C2882" s="352"/>
    </row>
    <row r="2883" ht="15">
      <c r="C2883" s="352"/>
    </row>
    <row r="2884" ht="15">
      <c r="C2884" s="352"/>
    </row>
    <row r="2885" ht="15">
      <c r="C2885" s="352"/>
    </row>
    <row r="2886" ht="15">
      <c r="C2886" s="352"/>
    </row>
    <row r="2887" ht="15">
      <c r="C2887" s="352"/>
    </row>
    <row r="2888" ht="15">
      <c r="C2888" s="352"/>
    </row>
    <row r="2889" ht="15">
      <c r="C2889" s="352"/>
    </row>
    <row r="2890" ht="15">
      <c r="C2890" s="352"/>
    </row>
    <row r="2891" ht="15">
      <c r="C2891" s="352"/>
    </row>
    <row r="2892" ht="15">
      <c r="C2892" s="352"/>
    </row>
    <row r="2893" ht="15">
      <c r="C2893" s="352"/>
    </row>
    <row r="2894" ht="15">
      <c r="C2894" s="352"/>
    </row>
    <row r="2895" ht="15">
      <c r="C2895" s="352"/>
    </row>
    <row r="2896" ht="15">
      <c r="C2896" s="352"/>
    </row>
    <row r="2897" ht="15">
      <c r="C2897" s="352"/>
    </row>
    <row r="2898" ht="15">
      <c r="C2898" s="352"/>
    </row>
    <row r="2899" ht="15">
      <c r="C2899" s="352"/>
    </row>
    <row r="2900" ht="15">
      <c r="C2900" s="352"/>
    </row>
    <row r="2901" ht="15">
      <c r="C2901" s="352"/>
    </row>
    <row r="2902" ht="15">
      <c r="C2902" s="352"/>
    </row>
    <row r="2903" ht="15">
      <c r="C2903" s="352"/>
    </row>
    <row r="2904" ht="15">
      <c r="C2904" s="352"/>
    </row>
    <row r="2905" ht="15">
      <c r="C2905" s="352"/>
    </row>
    <row r="2906" ht="15">
      <c r="C2906" s="352"/>
    </row>
    <row r="2907" ht="15">
      <c r="C2907" s="352"/>
    </row>
    <row r="2908" ht="15">
      <c r="C2908" s="352"/>
    </row>
    <row r="2909" ht="15">
      <c r="C2909" s="352"/>
    </row>
    <row r="2910" ht="15">
      <c r="C2910" s="352"/>
    </row>
    <row r="2911" ht="15">
      <c r="C2911" s="352"/>
    </row>
    <row r="2912" ht="15">
      <c r="C2912" s="352"/>
    </row>
    <row r="2913" ht="15">
      <c r="C2913" s="352"/>
    </row>
    <row r="2914" ht="15">
      <c r="C2914" s="352"/>
    </row>
    <row r="2915" ht="15">
      <c r="C2915" s="352"/>
    </row>
    <row r="2916" ht="15">
      <c r="C2916" s="352"/>
    </row>
    <row r="2917" ht="15">
      <c r="C2917" s="352"/>
    </row>
    <row r="2918" ht="15">
      <c r="C2918" s="352"/>
    </row>
    <row r="2919" ht="15">
      <c r="C2919" s="352"/>
    </row>
    <row r="2920" ht="15">
      <c r="C2920" s="352"/>
    </row>
    <row r="2921" ht="15">
      <c r="C2921" s="352"/>
    </row>
    <row r="2922" ht="15">
      <c r="C2922" s="352"/>
    </row>
    <row r="2923" ht="15">
      <c r="C2923" s="352"/>
    </row>
    <row r="2924" ht="15">
      <c r="C2924" s="352"/>
    </row>
    <row r="2925" ht="15">
      <c r="C2925" s="352"/>
    </row>
    <row r="2926" ht="15">
      <c r="C2926" s="352"/>
    </row>
    <row r="2927" ht="15">
      <c r="C2927" s="352"/>
    </row>
    <row r="2928" ht="15">
      <c r="C2928" s="352"/>
    </row>
    <row r="2929" ht="15">
      <c r="C2929" s="352"/>
    </row>
    <row r="2930" ht="15">
      <c r="C2930" s="352"/>
    </row>
    <row r="2931" ht="15">
      <c r="C2931" s="352"/>
    </row>
    <row r="2932" ht="15">
      <c r="C2932" s="352"/>
    </row>
    <row r="2933" ht="15">
      <c r="C2933" s="352"/>
    </row>
    <row r="2934" ht="15">
      <c r="C2934" s="352"/>
    </row>
    <row r="2935" ht="15">
      <c r="C2935" s="352"/>
    </row>
    <row r="2936" ht="15">
      <c r="C2936" s="352"/>
    </row>
    <row r="2937" ht="15">
      <c r="C2937" s="352"/>
    </row>
    <row r="2938" ht="15">
      <c r="C2938" s="352"/>
    </row>
    <row r="2939" ht="15">
      <c r="C2939" s="352"/>
    </row>
    <row r="2940" ht="15">
      <c r="C2940" s="352"/>
    </row>
    <row r="2941" ht="15">
      <c r="C2941" s="352"/>
    </row>
    <row r="2942" ht="15">
      <c r="C2942" s="352"/>
    </row>
    <row r="2943" ht="15">
      <c r="C2943" s="352"/>
    </row>
    <row r="2944" ht="15">
      <c r="C2944" s="352"/>
    </row>
    <row r="2945" ht="15">
      <c r="C2945" s="352"/>
    </row>
    <row r="2946" ht="15">
      <c r="C2946" s="352"/>
    </row>
    <row r="2947" ht="15">
      <c r="C2947" s="352"/>
    </row>
    <row r="2948" ht="15">
      <c r="C2948" s="352"/>
    </row>
    <row r="2949" ht="15">
      <c r="C2949" s="352"/>
    </row>
    <row r="2950" ht="15">
      <c r="C2950" s="352"/>
    </row>
    <row r="2951" ht="15">
      <c r="C2951" s="352"/>
    </row>
    <row r="2952" ht="15">
      <c r="C2952" s="352"/>
    </row>
    <row r="2953" ht="15">
      <c r="C2953" s="352"/>
    </row>
    <row r="2954" ht="15">
      <c r="C2954" s="352"/>
    </row>
    <row r="2955" ht="15">
      <c r="C2955" s="352"/>
    </row>
    <row r="2956" ht="15">
      <c r="C2956" s="352"/>
    </row>
    <row r="2957" ht="15">
      <c r="C2957" s="352"/>
    </row>
    <row r="2958" ht="15">
      <c r="C2958" s="352"/>
    </row>
    <row r="2959" ht="15">
      <c r="C2959" s="352"/>
    </row>
    <row r="2960" ht="15">
      <c r="C2960" s="352"/>
    </row>
    <row r="2961" ht="15">
      <c r="C2961" s="352"/>
    </row>
    <row r="2962" ht="15">
      <c r="C2962" s="352"/>
    </row>
    <row r="2963" ht="15">
      <c r="C2963" s="352"/>
    </row>
    <row r="2964" ht="15">
      <c r="C2964" s="352"/>
    </row>
    <row r="2965" ht="15">
      <c r="C2965" s="352"/>
    </row>
    <row r="2966" ht="15">
      <c r="C2966" s="352"/>
    </row>
    <row r="2967" ht="15">
      <c r="C2967" s="352"/>
    </row>
    <row r="2968" ht="15">
      <c r="C2968" s="352"/>
    </row>
    <row r="2969" ht="15">
      <c r="C2969" s="352"/>
    </row>
    <row r="2970" ht="15">
      <c r="C2970" s="352"/>
    </row>
    <row r="2971" ht="15">
      <c r="C2971" s="352"/>
    </row>
    <row r="2972" ht="15">
      <c r="C2972" s="352"/>
    </row>
    <row r="2973" ht="15">
      <c r="C2973" s="352"/>
    </row>
    <row r="2974" ht="15">
      <c r="C2974" s="352"/>
    </row>
    <row r="2975" ht="15">
      <c r="C2975" s="352"/>
    </row>
    <row r="2976" ht="15">
      <c r="C2976" s="352"/>
    </row>
    <row r="2977" ht="15">
      <c r="C2977" s="352"/>
    </row>
    <row r="2978" ht="15">
      <c r="C2978" s="352"/>
    </row>
    <row r="2979" ht="15">
      <c r="C2979" s="352"/>
    </row>
    <row r="2980" ht="15">
      <c r="C2980" s="352"/>
    </row>
    <row r="2981" ht="15">
      <c r="C2981" s="352"/>
    </row>
    <row r="2982" ht="15">
      <c r="C2982" s="352"/>
    </row>
    <row r="2983" ht="15">
      <c r="C2983" s="352"/>
    </row>
    <row r="2984" ht="15">
      <c r="C2984" s="352"/>
    </row>
    <row r="2985" ht="15">
      <c r="C2985" s="352"/>
    </row>
    <row r="2986" ht="15">
      <c r="C2986" s="352"/>
    </row>
    <row r="2987" ht="15">
      <c r="C2987" s="352"/>
    </row>
    <row r="2988" ht="15">
      <c r="C2988" s="352"/>
    </row>
    <row r="2989" ht="15">
      <c r="C2989" s="352"/>
    </row>
    <row r="2990" ht="15">
      <c r="C2990" s="352"/>
    </row>
    <row r="2991" ht="15">
      <c r="C2991" s="352"/>
    </row>
    <row r="2992" ht="15">
      <c r="C2992" s="352"/>
    </row>
    <row r="2993" ht="15">
      <c r="C2993" s="352"/>
    </row>
    <row r="2994" ht="15">
      <c r="C2994" s="352"/>
    </row>
    <row r="2995" ht="15">
      <c r="C2995" s="352"/>
    </row>
    <row r="2996" ht="15">
      <c r="C2996" s="352"/>
    </row>
    <row r="2997" ht="15">
      <c r="C2997" s="352"/>
    </row>
    <row r="2998" ht="15">
      <c r="C2998" s="352"/>
    </row>
    <row r="2999" ht="15">
      <c r="C2999" s="352"/>
    </row>
    <row r="3000" ht="15">
      <c r="C3000" s="352"/>
    </row>
    <row r="3001" ht="15">
      <c r="C3001" s="352"/>
    </row>
    <row r="3002" ht="15">
      <c r="C3002" s="352"/>
    </row>
    <row r="3003" ht="15">
      <c r="C3003" s="352"/>
    </row>
    <row r="3004" ht="15">
      <c r="C3004" s="352"/>
    </row>
    <row r="3005" ht="15">
      <c r="C3005" s="352"/>
    </row>
    <row r="3006" ht="15">
      <c r="C3006" s="352"/>
    </row>
    <row r="3007" ht="15">
      <c r="C3007" s="352"/>
    </row>
    <row r="3008" ht="15">
      <c r="C3008" s="352"/>
    </row>
    <row r="3009" ht="15">
      <c r="C3009" s="352"/>
    </row>
    <row r="3010" ht="15">
      <c r="C3010" s="352"/>
    </row>
    <row r="3011" ht="15">
      <c r="C3011" s="352"/>
    </row>
    <row r="3012" ht="15">
      <c r="C3012" s="352"/>
    </row>
    <row r="3013" ht="15">
      <c r="C3013" s="352"/>
    </row>
    <row r="3014" ht="15">
      <c r="C3014" s="352"/>
    </row>
    <row r="3015" ht="15">
      <c r="C3015" s="352"/>
    </row>
    <row r="3016" ht="15">
      <c r="C3016" s="352"/>
    </row>
    <row r="3017" ht="15">
      <c r="C3017" s="352"/>
    </row>
    <row r="3018" ht="15">
      <c r="C3018" s="352"/>
    </row>
    <row r="3019" ht="15">
      <c r="C3019" s="352"/>
    </row>
    <row r="3020" ht="15">
      <c r="C3020" s="352"/>
    </row>
    <row r="3021" ht="15">
      <c r="C3021" s="352"/>
    </row>
    <row r="3022" ht="15">
      <c r="C3022" s="352"/>
    </row>
    <row r="3023" ht="15">
      <c r="C3023" s="352"/>
    </row>
    <row r="3024" ht="15">
      <c r="C3024" s="352"/>
    </row>
    <row r="3025" ht="15">
      <c r="C3025" s="352"/>
    </row>
    <row r="3026" ht="15">
      <c r="C3026" s="352"/>
    </row>
    <row r="3027" ht="15">
      <c r="C3027" s="352"/>
    </row>
    <row r="3028" ht="15">
      <c r="C3028" s="352"/>
    </row>
    <row r="3029" ht="15">
      <c r="C3029" s="352"/>
    </row>
    <row r="3030" ht="15">
      <c r="C3030" s="352"/>
    </row>
    <row r="3031" ht="15">
      <c r="C3031" s="352"/>
    </row>
    <row r="3032" ht="15">
      <c r="C3032" s="352"/>
    </row>
    <row r="3033" ht="15">
      <c r="C3033" s="352"/>
    </row>
    <row r="3034" ht="15">
      <c r="C3034" s="352"/>
    </row>
    <row r="3035" ht="15">
      <c r="C3035" s="352"/>
    </row>
    <row r="3036" ht="15">
      <c r="C3036" s="352"/>
    </row>
    <row r="3037" ht="15">
      <c r="C3037" s="352"/>
    </row>
    <row r="3038" ht="15">
      <c r="C3038" s="352"/>
    </row>
    <row r="3039" ht="15">
      <c r="C3039" s="352"/>
    </row>
    <row r="3040" ht="15">
      <c r="C3040" s="352"/>
    </row>
    <row r="3041" ht="15">
      <c r="C3041" s="352"/>
    </row>
    <row r="3042" ht="15">
      <c r="C3042" s="352"/>
    </row>
    <row r="3043" ht="15">
      <c r="C3043" s="352"/>
    </row>
    <row r="3044" ht="15">
      <c r="C3044" s="352"/>
    </row>
    <row r="3045" ht="15">
      <c r="C3045" s="352"/>
    </row>
    <row r="3046" ht="15">
      <c r="C3046" s="352"/>
    </row>
    <row r="3047" ht="15">
      <c r="C3047" s="352"/>
    </row>
    <row r="3048" ht="15">
      <c r="C3048" s="352"/>
    </row>
    <row r="3049" ht="15">
      <c r="C3049" s="352"/>
    </row>
    <row r="3050" ht="15">
      <c r="C3050" s="352"/>
    </row>
    <row r="3051" ht="15">
      <c r="C3051" s="352"/>
    </row>
    <row r="3052" ht="15">
      <c r="C3052" s="352"/>
    </row>
    <row r="3053" ht="15">
      <c r="C3053" s="352"/>
    </row>
    <row r="3054" ht="15">
      <c r="C3054" s="352"/>
    </row>
    <row r="3055" ht="15">
      <c r="C3055" s="352"/>
    </row>
    <row r="3056" ht="15">
      <c r="C3056" s="352"/>
    </row>
    <row r="3057" ht="15">
      <c r="C3057" s="352"/>
    </row>
    <row r="3058" ht="15">
      <c r="C3058" s="352"/>
    </row>
    <row r="3059" ht="15">
      <c r="C3059" s="352"/>
    </row>
    <row r="3060" ht="15">
      <c r="C3060" s="352"/>
    </row>
    <row r="3061" ht="15">
      <c r="C3061" s="352"/>
    </row>
    <row r="3062" ht="15">
      <c r="C3062" s="352"/>
    </row>
    <row r="3063" ht="15">
      <c r="C3063" s="352"/>
    </row>
    <row r="3064" ht="15">
      <c r="C3064" s="352"/>
    </row>
    <row r="3065" ht="15">
      <c r="C3065" s="352"/>
    </row>
    <row r="3066" ht="15">
      <c r="C3066" s="352"/>
    </row>
    <row r="3067" ht="15">
      <c r="C3067" s="352"/>
    </row>
    <row r="3068" ht="15">
      <c r="C3068" s="352"/>
    </row>
    <row r="3069" ht="15">
      <c r="C3069" s="352"/>
    </row>
    <row r="3070" ht="15">
      <c r="C3070" s="352"/>
    </row>
    <row r="3071" ht="15">
      <c r="C3071" s="352"/>
    </row>
    <row r="3072" ht="15">
      <c r="C3072" s="352"/>
    </row>
    <row r="3073" ht="15">
      <c r="C3073" s="352"/>
    </row>
    <row r="3074" ht="15">
      <c r="C3074" s="352"/>
    </row>
    <row r="3075" ht="15">
      <c r="C3075" s="352"/>
    </row>
    <row r="3076" ht="15">
      <c r="C3076" s="352"/>
    </row>
    <row r="3077" ht="15">
      <c r="C3077" s="352"/>
    </row>
    <row r="3078" ht="15">
      <c r="C3078" s="352"/>
    </row>
    <row r="3079" ht="15">
      <c r="C3079" s="352"/>
    </row>
    <row r="3080" ht="15">
      <c r="C3080" s="352"/>
    </row>
    <row r="3081" ht="15">
      <c r="C3081" s="352"/>
    </row>
    <row r="3082" ht="15">
      <c r="C3082" s="352"/>
    </row>
    <row r="3083" ht="15">
      <c r="C3083" s="352"/>
    </row>
  </sheetData>
  <mergeCells count="13">
    <mergeCell ref="B67:Q67"/>
    <mergeCell ref="B68:Q68"/>
    <mergeCell ref="B3:L3"/>
    <mergeCell ref="B4:L4"/>
    <mergeCell ref="B26:L26"/>
    <mergeCell ref="B27:L27"/>
    <mergeCell ref="B70:Q70"/>
    <mergeCell ref="B136:Q136"/>
    <mergeCell ref="B137:Q137"/>
    <mergeCell ref="B139:Q139"/>
    <mergeCell ref="B97:Q97"/>
    <mergeCell ref="B98:Q98"/>
    <mergeCell ref="B100:Q100"/>
  </mergeCells>
  <printOptions/>
  <pageMargins left="0.5" right="0.5" top="0.75" bottom="0.5" header="0.5" footer="0.5"/>
  <pageSetup fitToHeight="0" fitToWidth="1" horizontalDpi="600" verticalDpi="600" orientation="landscape" scale="60" r:id="rId3"/>
  <headerFooter alignWithMargins="0">
    <oddFooter>&amp;L&amp;D&amp;R&amp;F</oddFooter>
  </headerFooter>
  <rowBreaks count="5" manualBreakCount="5">
    <brk id="23" max="16" man="1"/>
    <brk id="64" max="16" man="1"/>
    <brk id="94" max="16" man="1"/>
    <brk id="133" max="16" man="1"/>
    <brk id="175" max="255" man="1"/>
  </rowBreaks>
  <colBreaks count="1" manualBreakCount="1">
    <brk id="1"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39"/>
  <sheetViews>
    <sheetView view="pageBreakPreview" zoomScale="85" zoomScaleSheetLayoutView="85" workbookViewId="0" topLeftCell="A1">
      <selection activeCell="A2" sqref="A2"/>
    </sheetView>
  </sheetViews>
  <sheetFormatPr defaultColWidth="8.88671875" defaultRowHeight="15"/>
  <cols>
    <col min="1" max="2" width="2.77734375" style="0" customWidth="1"/>
    <col min="3" max="3" width="1.88671875" style="0" customWidth="1"/>
    <col min="4" max="5" width="12.77734375" style="0" customWidth="1"/>
    <col min="6" max="6" width="25.77734375" style="0" customWidth="1"/>
    <col min="7" max="9" width="12.77734375" style="0" customWidth="1"/>
    <col min="10" max="10" width="5.77734375" style="0" customWidth="1"/>
  </cols>
  <sheetData>
    <row r="1" spans="1:10" ht="21">
      <c r="A1" s="373" t="s">
        <v>15</v>
      </c>
      <c r="J1" s="172" t="s">
        <v>339</v>
      </c>
    </row>
    <row r="2" ht="15">
      <c r="J2" s="172"/>
    </row>
    <row r="3" spans="1:10" ht="17.25">
      <c r="A3" s="524" t="s">
        <v>665</v>
      </c>
      <c r="B3" s="516"/>
      <c r="C3" s="516"/>
      <c r="D3" s="516"/>
      <c r="E3" s="516"/>
      <c r="F3" s="516"/>
      <c r="G3" s="516"/>
      <c r="H3" s="516"/>
      <c r="I3" s="516"/>
      <c r="J3" s="516"/>
    </row>
    <row r="4" spans="1:10" ht="17.25">
      <c r="A4" s="524" t="s">
        <v>92</v>
      </c>
      <c r="B4" s="516"/>
      <c r="C4" s="516"/>
      <c r="D4" s="516"/>
      <c r="E4" s="516"/>
      <c r="F4" s="516"/>
      <c r="G4" s="516"/>
      <c r="H4" s="516"/>
      <c r="I4" s="516"/>
      <c r="J4" s="516"/>
    </row>
    <row r="5" spans="2:11" ht="15">
      <c r="B5" s="28"/>
      <c r="C5" s="28"/>
      <c r="D5" s="28"/>
      <c r="E5" s="28"/>
      <c r="F5" s="28"/>
      <c r="G5" s="28"/>
      <c r="H5" s="28"/>
      <c r="I5" s="28"/>
      <c r="J5" s="28"/>
      <c r="K5" s="28"/>
    </row>
    <row r="6" spans="2:11" ht="15">
      <c r="B6" s="28"/>
      <c r="C6" s="28"/>
      <c r="D6" s="28"/>
      <c r="E6" s="28"/>
      <c r="F6" s="28"/>
      <c r="G6" s="441" t="s">
        <v>349</v>
      </c>
      <c r="H6" s="441" t="s">
        <v>350</v>
      </c>
      <c r="I6" s="441" t="s">
        <v>113</v>
      </c>
      <c r="J6" s="28"/>
      <c r="K6" s="28"/>
    </row>
    <row r="7" spans="2:11" ht="15">
      <c r="B7" s="376">
        <v>1</v>
      </c>
      <c r="C7" s="28" t="s">
        <v>89</v>
      </c>
      <c r="D7" s="28"/>
      <c r="E7" s="28"/>
      <c r="F7" s="28"/>
      <c r="G7" s="28"/>
      <c r="H7" s="28"/>
      <c r="I7" s="28"/>
      <c r="J7" s="28"/>
      <c r="K7" s="28"/>
    </row>
    <row r="8" spans="2:11" ht="17.25">
      <c r="B8" s="376">
        <f>B7+1</f>
        <v>2</v>
      </c>
      <c r="C8" s="28"/>
      <c r="D8" s="28" t="s">
        <v>49</v>
      </c>
      <c r="E8" s="28"/>
      <c r="F8" s="438" t="s">
        <v>58</v>
      </c>
      <c r="G8" s="378">
        <f>'Worksheet E'!H14</f>
        <v>15230511.059999999</v>
      </c>
      <c r="H8" s="378">
        <f>'Worksheet G'!H14</f>
        <v>11671129.93</v>
      </c>
      <c r="I8" s="378">
        <f>SUM(G8:H8)</f>
        <v>26901640.99</v>
      </c>
      <c r="J8" s="28"/>
      <c r="K8" s="28"/>
    </row>
    <row r="9" spans="2:11" ht="15">
      <c r="B9" s="376">
        <f>B8+1</f>
        <v>3</v>
      </c>
      <c r="C9" s="28"/>
      <c r="D9" s="379" t="s">
        <v>113</v>
      </c>
      <c r="E9" s="28"/>
      <c r="F9" s="28"/>
      <c r="G9" s="377">
        <f>+G8</f>
        <v>15230511.059999999</v>
      </c>
      <c r="H9" s="377">
        <f>+H8</f>
        <v>11671129.93</v>
      </c>
      <c r="I9" s="377">
        <f>SUM(I8:I8)</f>
        <v>26901640.99</v>
      </c>
      <c r="J9" s="28"/>
      <c r="K9" s="28"/>
    </row>
    <row r="10" spans="2:11" ht="15">
      <c r="B10" s="376"/>
      <c r="C10" s="28"/>
      <c r="D10" s="379"/>
      <c r="E10" s="28"/>
      <c r="F10" s="28"/>
      <c r="G10" s="380"/>
      <c r="H10" s="380"/>
      <c r="I10" s="28"/>
      <c r="J10" s="28"/>
      <c r="K10" s="28"/>
    </row>
    <row r="11" spans="2:11" ht="17.25">
      <c r="B11" s="376">
        <v>4</v>
      </c>
      <c r="C11" s="28"/>
      <c r="D11" s="28" t="s">
        <v>50</v>
      </c>
      <c r="E11" s="28"/>
      <c r="F11" s="438" t="s">
        <v>59</v>
      </c>
      <c r="G11" s="381">
        <f>WEN!H18</f>
        <v>0.13321271979004043</v>
      </c>
      <c r="H11" s="381">
        <f>WES!H18</f>
        <v>0.09657098046992214</v>
      </c>
      <c r="I11" s="28"/>
      <c r="J11" s="28"/>
      <c r="K11" s="28"/>
    </row>
    <row r="12" spans="2:11" ht="15">
      <c r="B12" s="376"/>
      <c r="C12" s="28"/>
      <c r="D12" s="28"/>
      <c r="E12" s="28"/>
      <c r="F12" s="28"/>
      <c r="G12" s="381"/>
      <c r="H12" s="381"/>
      <c r="I12" s="28"/>
      <c r="J12" s="28"/>
      <c r="K12" s="28"/>
    </row>
    <row r="13" spans="2:11" ht="15">
      <c r="B13" s="376">
        <v>5</v>
      </c>
      <c r="C13" s="28"/>
      <c r="D13" s="28" t="s">
        <v>93</v>
      </c>
      <c r="E13" s="28"/>
      <c r="F13" s="28" t="s">
        <v>53</v>
      </c>
      <c r="G13" s="377">
        <f>+G9*G11</f>
        <v>2028897.8020948914</v>
      </c>
      <c r="H13" s="377">
        <f>+H11*H9</f>
        <v>1127092.4605319537</v>
      </c>
      <c r="I13" s="377">
        <f>SUM(G13:H13)</f>
        <v>3155990.2626268454</v>
      </c>
      <c r="J13" s="28"/>
      <c r="K13" s="28"/>
    </row>
    <row r="14" spans="2:11" ht="15">
      <c r="B14" s="376"/>
      <c r="C14" s="28"/>
      <c r="D14" s="28"/>
      <c r="E14" s="28"/>
      <c r="F14" s="28"/>
      <c r="G14" s="28"/>
      <c r="H14" s="28"/>
      <c r="I14" s="28"/>
      <c r="J14" s="28"/>
      <c r="K14" s="28"/>
    </row>
    <row r="15" spans="2:11" ht="17.25">
      <c r="B15" s="376">
        <v>6</v>
      </c>
      <c r="C15" s="28" t="s">
        <v>94</v>
      </c>
      <c r="D15" s="28"/>
      <c r="E15" s="28"/>
      <c r="F15" s="438" t="s">
        <v>51</v>
      </c>
      <c r="G15" s="381">
        <f>WEN!J169</f>
        <v>0.08976214833477077</v>
      </c>
      <c r="H15" s="381">
        <f>WES!J168</f>
        <v>0.059744289884999975</v>
      </c>
      <c r="I15" s="28"/>
      <c r="J15" s="28"/>
      <c r="K15" s="28"/>
    </row>
    <row r="16" spans="2:11" ht="15">
      <c r="B16" s="376"/>
      <c r="C16" s="28"/>
      <c r="D16" s="28"/>
      <c r="E16" s="28"/>
      <c r="F16" s="28"/>
      <c r="G16" s="381"/>
      <c r="H16" s="381"/>
      <c r="I16" s="28"/>
      <c r="J16" s="28"/>
      <c r="K16" s="28"/>
    </row>
    <row r="17" spans="2:11" ht="15">
      <c r="B17" s="376">
        <v>7</v>
      </c>
      <c r="C17" s="28" t="s">
        <v>90</v>
      </c>
      <c r="D17" s="28"/>
      <c r="E17" s="28"/>
      <c r="F17" s="28" t="s">
        <v>54</v>
      </c>
      <c r="G17" s="377">
        <f>+G13*G15</f>
        <v>182118.22546773203</v>
      </c>
      <c r="H17" s="377">
        <f>+H15*H13</f>
        <v>67337.33868921893</v>
      </c>
      <c r="I17" s="377">
        <f>SUM(G17:H17)</f>
        <v>249455.56415695098</v>
      </c>
      <c r="J17" s="28"/>
      <c r="K17" s="28"/>
    </row>
    <row r="18" spans="2:11" ht="15">
      <c r="B18" s="376"/>
      <c r="C18" s="28"/>
      <c r="D18" s="28"/>
      <c r="E18" s="28"/>
      <c r="F18" s="28"/>
      <c r="G18" s="380"/>
      <c r="H18" s="380"/>
      <c r="I18" s="28"/>
      <c r="J18" s="28"/>
      <c r="K18" s="28"/>
    </row>
    <row r="19" spans="2:11" ht="17.25">
      <c r="B19" s="376">
        <v>8</v>
      </c>
      <c r="C19" s="28" t="s">
        <v>95</v>
      </c>
      <c r="D19" s="28"/>
      <c r="E19" s="28"/>
      <c r="F19" s="438" t="s">
        <v>52</v>
      </c>
      <c r="G19" s="381">
        <f>WEN!E91</f>
        <v>0.4331964503045176</v>
      </c>
      <c r="H19" s="381">
        <f>WES!E90</f>
        <v>0.553088455188529</v>
      </c>
      <c r="I19" s="28"/>
      <c r="J19" s="28"/>
      <c r="K19" s="28"/>
    </row>
    <row r="20" spans="2:11" ht="15">
      <c r="B20" s="376"/>
      <c r="C20" s="28"/>
      <c r="D20" s="28"/>
      <c r="E20" s="28"/>
      <c r="F20" s="28"/>
      <c r="G20" s="381"/>
      <c r="H20" s="381"/>
      <c r="I20" s="28"/>
      <c r="J20" s="28"/>
      <c r="K20" s="28"/>
    </row>
    <row r="21" spans="2:11" ht="15">
      <c r="B21" s="376">
        <v>9</v>
      </c>
      <c r="C21" s="28" t="s">
        <v>91</v>
      </c>
      <c r="D21" s="28"/>
      <c r="E21" s="28"/>
      <c r="F21" s="28" t="s">
        <v>55</v>
      </c>
      <c r="G21" s="380">
        <f>+G19*G17</f>
        <v>78892.96880837932</v>
      </c>
      <c r="H21" s="380">
        <f>+H19*H17</f>
        <v>37243.50463212687</v>
      </c>
      <c r="I21" s="377">
        <f>SUM(G21:H21)</f>
        <v>116136.47344050618</v>
      </c>
      <c r="J21" s="28"/>
      <c r="K21" s="28"/>
    </row>
    <row r="22" spans="2:11" ht="15">
      <c r="B22" s="376"/>
      <c r="C22" s="28"/>
      <c r="D22" s="28"/>
      <c r="E22" s="28"/>
      <c r="F22" s="28"/>
      <c r="G22" s="380"/>
      <c r="H22" s="380"/>
      <c r="I22" s="28"/>
      <c r="J22" s="28"/>
      <c r="K22" s="28"/>
    </row>
    <row r="23" spans="2:11" ht="15">
      <c r="B23" s="376">
        <v>10</v>
      </c>
      <c r="C23" s="28" t="s">
        <v>96</v>
      </c>
      <c r="D23" s="28"/>
      <c r="E23" s="28"/>
      <c r="F23" s="28"/>
      <c r="G23" s="28"/>
      <c r="H23" s="28"/>
      <c r="I23" s="28"/>
      <c r="J23" s="28"/>
      <c r="K23" s="28"/>
    </row>
    <row r="24" spans="2:11" ht="15">
      <c r="B24" s="376">
        <f>B23+1</f>
        <v>11</v>
      </c>
      <c r="C24" s="28"/>
      <c r="D24" s="28" t="s">
        <v>97</v>
      </c>
      <c r="E24" s="28"/>
      <c r="F24" s="28"/>
      <c r="G24" s="382">
        <v>0</v>
      </c>
      <c r="H24" s="382">
        <v>0</v>
      </c>
      <c r="I24" s="377">
        <f>SUM(G24:H24)</f>
        <v>0</v>
      </c>
      <c r="J24" s="28"/>
      <c r="K24" s="28"/>
    </row>
    <row r="25" spans="2:11" ht="15">
      <c r="B25" s="376">
        <f>B24+1</f>
        <v>12</v>
      </c>
      <c r="C25" s="28"/>
      <c r="D25" s="28" t="s">
        <v>98</v>
      </c>
      <c r="E25" s="28"/>
      <c r="F25" s="28"/>
      <c r="G25" s="383">
        <v>0</v>
      </c>
      <c r="H25" s="383">
        <v>0</v>
      </c>
      <c r="I25" s="383">
        <f>SUM(G25:H25)</f>
        <v>0</v>
      </c>
      <c r="J25" s="28"/>
      <c r="K25" s="28"/>
    </row>
    <row r="26" spans="2:11" ht="15">
      <c r="B26" s="376">
        <f>B25+1</f>
        <v>13</v>
      </c>
      <c r="C26" s="28"/>
      <c r="D26" s="28" t="s">
        <v>99</v>
      </c>
      <c r="E26" s="28"/>
      <c r="F26" s="28"/>
      <c r="G26" s="383">
        <v>0</v>
      </c>
      <c r="H26" s="383">
        <v>0</v>
      </c>
      <c r="I26" s="383">
        <f>SUM(G26:H26)</f>
        <v>0</v>
      </c>
      <c r="J26" s="28"/>
      <c r="K26" s="28"/>
    </row>
    <row r="27" spans="2:11" ht="15">
      <c r="B27" s="376">
        <f>B26+1</f>
        <v>14</v>
      </c>
      <c r="C27" s="28"/>
      <c r="D27" s="28" t="s">
        <v>100</v>
      </c>
      <c r="E27" s="28"/>
      <c r="G27" s="384">
        <v>0</v>
      </c>
      <c r="H27" s="384">
        <v>0</v>
      </c>
      <c r="I27" s="384">
        <f>SUM(G27:H27)</f>
        <v>0</v>
      </c>
      <c r="J27" s="28"/>
      <c r="K27" s="28"/>
    </row>
    <row r="28" spans="2:11" ht="15">
      <c r="B28" s="376">
        <f>B27+1</f>
        <v>15</v>
      </c>
      <c r="C28" s="28"/>
      <c r="D28" s="379" t="s">
        <v>113</v>
      </c>
      <c r="E28" s="28"/>
      <c r="F28" s="28" t="s">
        <v>56</v>
      </c>
      <c r="G28" s="382">
        <f>SUM(G24:G27)</f>
        <v>0</v>
      </c>
      <c r="H28" s="382">
        <f>SUM(H24:H27)</f>
        <v>0</v>
      </c>
      <c r="I28" s="382">
        <f>SUM(I24:I27)</f>
        <v>0</v>
      </c>
      <c r="J28" s="28"/>
      <c r="K28" s="28"/>
    </row>
    <row r="29" spans="2:11" ht="15">
      <c r="B29" s="376"/>
      <c r="C29" s="28"/>
      <c r="D29" s="28"/>
      <c r="E29" s="28"/>
      <c r="F29" s="28"/>
      <c r="G29" s="385"/>
      <c r="H29" s="385"/>
      <c r="I29" s="385"/>
      <c r="J29" s="28"/>
      <c r="K29" s="28"/>
    </row>
    <row r="30" spans="2:11" ht="15">
      <c r="B30" s="376">
        <v>16</v>
      </c>
      <c r="C30" s="28" t="s">
        <v>101</v>
      </c>
      <c r="D30" s="28"/>
      <c r="E30" s="28"/>
      <c r="F30" s="28" t="s">
        <v>2</v>
      </c>
      <c r="G30" s="385">
        <f>G17+G21+G28</f>
        <v>261011.19427611135</v>
      </c>
      <c r="H30" s="385">
        <f>H17+H21+H28</f>
        <v>104580.8433213458</v>
      </c>
      <c r="I30" s="385">
        <f>+G30+H30</f>
        <v>365592.0375974572</v>
      </c>
      <c r="J30" s="28"/>
      <c r="K30" s="28"/>
    </row>
    <row r="31" spans="2:11" ht="15">
      <c r="B31" s="28"/>
      <c r="C31" s="28"/>
      <c r="D31" s="28"/>
      <c r="E31" s="28"/>
      <c r="F31" s="28"/>
      <c r="G31" s="28"/>
      <c r="H31" s="28"/>
      <c r="I31" s="28"/>
      <c r="J31" s="28"/>
      <c r="K31" s="28"/>
    </row>
    <row r="32" spans="2:11" ht="15">
      <c r="B32" s="439" t="s">
        <v>57</v>
      </c>
      <c r="C32" s="28"/>
      <c r="D32" s="28"/>
      <c r="E32" s="28"/>
      <c r="F32" s="28"/>
      <c r="G32" s="28"/>
      <c r="H32" s="28"/>
      <c r="I32" s="28"/>
      <c r="J32" s="28"/>
      <c r="K32" s="28"/>
    </row>
    <row r="33" spans="2:11" ht="15">
      <c r="B33" s="440">
        <v>1</v>
      </c>
      <c r="C33" s="28"/>
      <c r="D33" s="28" t="s">
        <v>3</v>
      </c>
      <c r="E33" s="28"/>
      <c r="F33" s="28"/>
      <c r="G33" s="28"/>
      <c r="H33" s="28"/>
      <c r="I33" s="28"/>
      <c r="J33" s="28"/>
      <c r="K33" s="28"/>
    </row>
    <row r="34" spans="2:11" ht="15">
      <c r="B34" s="440">
        <v>2</v>
      </c>
      <c r="C34" s="28"/>
      <c r="D34" s="28" t="s">
        <v>773</v>
      </c>
      <c r="E34" s="28"/>
      <c r="F34" s="28"/>
      <c r="G34" s="28"/>
      <c r="H34" s="28"/>
      <c r="I34" s="28"/>
      <c r="J34" s="28"/>
      <c r="K34" s="28"/>
    </row>
    <row r="35" spans="2:11" ht="15">
      <c r="B35" s="440">
        <v>3</v>
      </c>
      <c r="C35" s="28"/>
      <c r="D35" s="28" t="s">
        <v>4</v>
      </c>
      <c r="E35" s="28"/>
      <c r="F35" s="28"/>
      <c r="G35" s="28"/>
      <c r="H35" s="28"/>
      <c r="I35" s="28"/>
      <c r="J35" s="28"/>
      <c r="K35" s="28"/>
    </row>
    <row r="36" spans="2:11" ht="15">
      <c r="B36" s="440">
        <v>4</v>
      </c>
      <c r="C36" s="28"/>
      <c r="D36" s="28" t="s">
        <v>5</v>
      </c>
      <c r="E36" s="28"/>
      <c r="F36" s="28"/>
      <c r="G36" s="28"/>
      <c r="H36" s="28"/>
      <c r="I36" s="28"/>
      <c r="J36" s="28"/>
      <c r="K36" s="28"/>
    </row>
    <row r="37" spans="2:11" ht="15">
      <c r="B37" s="28"/>
      <c r="C37" s="28"/>
      <c r="D37" s="28"/>
      <c r="E37" s="28"/>
      <c r="F37" s="28"/>
      <c r="G37" s="28"/>
      <c r="H37" s="28"/>
      <c r="I37" s="28"/>
      <c r="J37" s="28"/>
      <c r="K37" s="28"/>
    </row>
    <row r="38" spans="2:11" ht="15">
      <c r="B38" s="28"/>
      <c r="C38" s="28"/>
      <c r="D38" s="28"/>
      <c r="E38" s="28"/>
      <c r="F38" s="28"/>
      <c r="G38" s="28"/>
      <c r="H38" s="28"/>
      <c r="I38" s="28"/>
      <c r="J38" s="28"/>
      <c r="K38" s="28"/>
    </row>
    <row r="39" spans="2:11" ht="15">
      <c r="B39" s="28"/>
      <c r="C39" s="28"/>
      <c r="D39" s="28"/>
      <c r="E39" s="28"/>
      <c r="F39" s="28"/>
      <c r="G39" s="28"/>
      <c r="H39" s="28"/>
      <c r="I39" s="28"/>
      <c r="J39" s="28"/>
      <c r="K39" s="28"/>
    </row>
  </sheetData>
  <mergeCells count="2">
    <mergeCell ref="A3:J3"/>
    <mergeCell ref="A4:J4"/>
  </mergeCells>
  <printOptions horizontalCentered="1"/>
  <pageMargins left="0.75" right="0.75" top="1" bottom="1" header="0.5" footer="0.5"/>
  <pageSetup fitToHeight="1" fitToWidth="1" horizontalDpi="600" verticalDpi="600" orientation="portrait" scale="72" r:id="rId1"/>
  <headerFooter alignWithMargins="0">
    <oddFooter>&amp;L&amp;D&amp;R&amp;F</oddFooter>
  </headerFooter>
</worksheet>
</file>

<file path=xl/worksheets/sheet7.xml><?xml version="1.0" encoding="utf-8"?>
<worksheet xmlns="http://schemas.openxmlformats.org/spreadsheetml/2006/main" xmlns:r="http://schemas.openxmlformats.org/officeDocument/2006/relationships">
  <dimension ref="A1:L11"/>
  <sheetViews>
    <sheetView view="pageBreakPreview" zoomScale="60" workbookViewId="0" topLeftCell="A1">
      <selection activeCell="A1" sqref="A1"/>
    </sheetView>
  </sheetViews>
  <sheetFormatPr defaultColWidth="8.88671875" defaultRowHeight="15"/>
  <cols>
    <col min="1" max="1" width="6.88671875" style="0" customWidth="1"/>
    <col min="2" max="2" width="3.88671875" style="0" customWidth="1"/>
    <col min="3" max="3" width="31.88671875" style="0" customWidth="1"/>
    <col min="4" max="4" width="40.77734375" style="0" customWidth="1"/>
    <col min="5" max="5" width="14.10546875" style="0" customWidth="1"/>
    <col min="6" max="6" width="14.88671875" style="0" customWidth="1"/>
    <col min="7" max="7" width="5.5546875" style="0" customWidth="1"/>
    <col min="8" max="8" width="12.77734375" style="0" customWidth="1"/>
    <col min="9" max="9" width="3.88671875" style="0" customWidth="1"/>
    <col min="10" max="10" width="14.10546875" style="0" customWidth="1"/>
    <col min="11" max="11" width="3.6640625" style="0" customWidth="1"/>
    <col min="12" max="12" width="6.88671875" style="0" customWidth="1"/>
  </cols>
  <sheetData>
    <row r="1" ht="24.75">
      <c r="A1" s="395" t="s">
        <v>815</v>
      </c>
    </row>
    <row r="2" spans="2:12" ht="27" customHeight="1">
      <c r="B2" s="403"/>
      <c r="C2" s="450"/>
      <c r="D2" s="525" t="s">
        <v>665</v>
      </c>
      <c r="E2" s="526"/>
      <c r="F2" s="526"/>
      <c r="G2" s="403"/>
      <c r="H2" s="403"/>
      <c r="I2" s="100"/>
      <c r="J2" s="417" t="s">
        <v>339</v>
      </c>
      <c r="K2" s="403"/>
      <c r="L2" s="403"/>
    </row>
    <row r="3" spans="1:12" ht="27" customHeight="1">
      <c r="A3" s="525" t="s">
        <v>79</v>
      </c>
      <c r="B3" s="526"/>
      <c r="C3" s="526"/>
      <c r="D3" s="526"/>
      <c r="E3" s="526"/>
      <c r="F3" s="526"/>
      <c r="G3" s="526"/>
      <c r="H3" s="526"/>
      <c r="I3" s="526"/>
      <c r="J3" s="526"/>
      <c r="K3" s="403"/>
      <c r="L3" s="403"/>
    </row>
    <row r="4" spans="1:12" ht="20.25" customHeight="1">
      <c r="A4" s="451"/>
      <c r="B4" s="403"/>
      <c r="C4" s="450"/>
      <c r="D4" s="101"/>
      <c r="E4" s="101"/>
      <c r="F4" s="101"/>
      <c r="G4" s="403"/>
      <c r="H4" s="403"/>
      <c r="I4" s="100"/>
      <c r="J4" s="100"/>
      <c r="K4" s="403"/>
      <c r="L4" s="403"/>
    </row>
    <row r="5" spans="1:12" ht="72.75" customHeight="1">
      <c r="A5" s="400" t="s">
        <v>325</v>
      </c>
      <c r="B5" s="158"/>
      <c r="C5" s="401"/>
      <c r="D5" s="402"/>
      <c r="E5" s="402"/>
      <c r="F5" s="403"/>
      <c r="G5" s="403"/>
      <c r="H5" s="403"/>
      <c r="I5" s="403"/>
      <c r="J5" s="403"/>
      <c r="K5" s="403"/>
      <c r="L5" s="413"/>
    </row>
    <row r="6" spans="1:12" ht="20.25" customHeight="1">
      <c r="A6" s="403" t="s">
        <v>164</v>
      </c>
      <c r="B6" s="100"/>
      <c r="C6" s="404" t="s">
        <v>163</v>
      </c>
      <c r="D6" s="405" t="s">
        <v>105</v>
      </c>
      <c r="E6" s="406"/>
      <c r="F6" s="407"/>
      <c r="G6" s="407"/>
      <c r="H6" s="407"/>
      <c r="I6" s="407"/>
      <c r="J6" s="407"/>
      <c r="K6" s="407"/>
      <c r="L6" s="403"/>
    </row>
    <row r="7" spans="1:12" ht="20.25" customHeight="1">
      <c r="A7" s="100"/>
      <c r="B7" s="100"/>
      <c r="C7" s="411" t="s">
        <v>354</v>
      </c>
      <c r="D7" s="406" t="s">
        <v>105</v>
      </c>
      <c r="E7" s="403"/>
      <c r="F7" s="407"/>
      <c r="G7" s="407"/>
      <c r="H7" s="100"/>
      <c r="I7" s="407"/>
      <c r="J7" s="412">
        <v>45785238</v>
      </c>
      <c r="K7" s="407"/>
      <c r="L7" s="403"/>
    </row>
    <row r="8" spans="1:12" ht="20.25" customHeight="1">
      <c r="A8" s="100"/>
      <c r="B8" s="100"/>
      <c r="C8" s="413" t="s">
        <v>330</v>
      </c>
      <c r="D8" s="414"/>
      <c r="E8" s="100"/>
      <c r="F8" s="407"/>
      <c r="G8" s="407"/>
      <c r="H8" s="100"/>
      <c r="I8" s="407"/>
      <c r="J8" s="415"/>
      <c r="K8" s="407"/>
      <c r="L8" s="403"/>
    </row>
    <row r="9" spans="1:12" ht="20.25" customHeight="1">
      <c r="A9" s="100"/>
      <c r="B9" s="100"/>
      <c r="C9" s="403" t="s">
        <v>765</v>
      </c>
      <c r="D9" s="100"/>
      <c r="E9" s="100"/>
      <c r="F9" s="407"/>
      <c r="G9" s="407"/>
      <c r="H9" s="100"/>
      <c r="I9" s="407"/>
      <c r="J9" s="406">
        <f>4491643.5/2</f>
        <v>2245821.75</v>
      </c>
      <c r="K9" s="407"/>
      <c r="L9" s="403"/>
    </row>
    <row r="10" spans="1:12" ht="20.25" customHeight="1">
      <c r="A10" s="100" t="s">
        <v>105</v>
      </c>
      <c r="B10" s="100"/>
      <c r="C10" s="407" t="s">
        <v>6</v>
      </c>
      <c r="D10" s="407"/>
      <c r="E10" s="407"/>
      <c r="F10" s="407"/>
      <c r="G10" s="407"/>
      <c r="H10" s="100"/>
      <c r="I10" s="407"/>
      <c r="J10" s="416">
        <f>+J7-J9</f>
        <v>43539416.25</v>
      </c>
      <c r="K10" s="407"/>
      <c r="L10" s="403"/>
    </row>
    <row r="11" spans="1:12" ht="20.25" customHeight="1">
      <c r="A11" s="100"/>
      <c r="B11" s="100"/>
      <c r="D11" s="100"/>
      <c r="E11" s="100"/>
      <c r="F11" s="100"/>
      <c r="G11" s="100"/>
      <c r="H11" s="100"/>
      <c r="I11" s="100"/>
      <c r="J11" s="100"/>
      <c r="K11" s="100"/>
      <c r="L11" s="100"/>
    </row>
  </sheetData>
  <mergeCells count="2">
    <mergeCell ref="D2:F2"/>
    <mergeCell ref="A3:J3"/>
  </mergeCells>
  <printOptions/>
  <pageMargins left="0.57" right="0.3" top="0.77" bottom="0.75" header="0.5" footer="0.5"/>
  <pageSetup fitToHeight="6" horizontalDpi="600" verticalDpi="600" orientation="portrait" scale="51" r:id="rId1"/>
  <headerFooter alignWithMargins="0">
    <oddFooter>&amp;L&amp;D&amp;R&amp;F, &amp;A</oddFooter>
  </headerFooter>
</worksheet>
</file>

<file path=xl/worksheets/sheet8.xml><?xml version="1.0" encoding="utf-8"?>
<worksheet xmlns="http://schemas.openxmlformats.org/spreadsheetml/2006/main" xmlns:r="http://schemas.openxmlformats.org/officeDocument/2006/relationships">
  <dimension ref="A1:J180"/>
  <sheetViews>
    <sheetView view="pageBreakPreview" zoomScale="75" zoomScaleNormal="60" zoomScaleSheetLayoutView="75" workbookViewId="0" topLeftCell="A1">
      <selection activeCell="A1" sqref="A1"/>
    </sheetView>
  </sheetViews>
  <sheetFormatPr defaultColWidth="8.88671875" defaultRowHeight="15"/>
  <cols>
    <col min="1" max="1" width="6.77734375" style="182" customWidth="1"/>
    <col min="2" max="2" width="35.77734375" style="181" customWidth="1"/>
    <col min="3" max="3" width="9.77734375" style="181" customWidth="1"/>
    <col min="4" max="9" width="11.77734375" style="181" customWidth="1"/>
    <col min="10" max="10" width="75.77734375" style="181" customWidth="1"/>
    <col min="11" max="16384" width="7.10546875" style="181" customWidth="1"/>
  </cols>
  <sheetData>
    <row r="1" spans="1:9" ht="21">
      <c r="A1" s="409" t="s">
        <v>16</v>
      </c>
      <c r="B1" s="408"/>
      <c r="C1" s="408"/>
      <c r="D1" s="408"/>
      <c r="E1" s="408"/>
      <c r="F1" s="408"/>
      <c r="G1" s="408"/>
      <c r="H1" s="408"/>
      <c r="I1" s="410" t="s">
        <v>85</v>
      </c>
    </row>
    <row r="2" spans="1:10" ht="21">
      <c r="A2" s="409"/>
      <c r="B2" s="408"/>
      <c r="C2" s="408"/>
      <c r="D2" s="408"/>
      <c r="E2" s="408"/>
      <c r="F2" s="408"/>
      <c r="G2" s="408"/>
      <c r="H2" s="408"/>
      <c r="I2" s="408"/>
      <c r="J2" s="410"/>
    </row>
    <row r="3" spans="1:10" ht="17.25">
      <c r="A3" s="524" t="s">
        <v>665</v>
      </c>
      <c r="B3" s="516"/>
      <c r="C3" s="516"/>
      <c r="D3" s="516"/>
      <c r="E3" s="516"/>
      <c r="F3" s="516"/>
      <c r="G3" s="516"/>
      <c r="H3" s="516"/>
      <c r="I3" s="516"/>
      <c r="J3" s="410"/>
    </row>
    <row r="4" spans="1:10" ht="17.25">
      <c r="A4" s="524" t="s">
        <v>67</v>
      </c>
      <c r="B4" s="516"/>
      <c r="C4" s="516"/>
      <c r="D4" s="516"/>
      <c r="E4" s="516"/>
      <c r="F4" s="516"/>
      <c r="G4" s="516"/>
      <c r="H4" s="516"/>
      <c r="I4" s="516"/>
      <c r="J4" s="410"/>
    </row>
    <row r="6" spans="2:9" ht="12.75">
      <c r="B6" s="183" t="s">
        <v>68</v>
      </c>
      <c r="D6" s="184">
        <v>1</v>
      </c>
      <c r="E6" s="184">
        <v>1</v>
      </c>
      <c r="G6" s="185"/>
      <c r="H6" s="184">
        <v>1</v>
      </c>
      <c r="I6" s="185" t="s">
        <v>113</v>
      </c>
    </row>
    <row r="7" spans="4:9" ht="12.75">
      <c r="D7" s="185" t="s">
        <v>402</v>
      </c>
      <c r="E7" s="185" t="s">
        <v>137</v>
      </c>
      <c r="F7" s="185" t="s">
        <v>403</v>
      </c>
      <c r="G7" s="185" t="s">
        <v>404</v>
      </c>
      <c r="H7" s="185" t="s">
        <v>658</v>
      </c>
      <c r="I7" s="185" t="s">
        <v>406</v>
      </c>
    </row>
    <row r="8" spans="4:9" ht="12.75">
      <c r="D8" s="185" t="s">
        <v>405</v>
      </c>
      <c r="E8" s="185" t="s">
        <v>405</v>
      </c>
      <c r="F8" s="185" t="s">
        <v>405</v>
      </c>
      <c r="G8" s="185" t="s">
        <v>405</v>
      </c>
      <c r="H8" s="185" t="s">
        <v>405</v>
      </c>
      <c r="I8" s="192"/>
    </row>
    <row r="11" spans="1:8" ht="12.75">
      <c r="A11" s="265" t="s">
        <v>650</v>
      </c>
      <c r="B11" s="183" t="s">
        <v>407</v>
      </c>
      <c r="C11" s="181" t="s">
        <v>105</v>
      </c>
      <c r="D11" s="186">
        <f>-D123</f>
        <v>0</v>
      </c>
      <c r="E11" s="186">
        <f>-E123</f>
        <v>0</v>
      </c>
      <c r="F11" s="186">
        <f>-F123</f>
        <v>-284015286.67999995</v>
      </c>
      <c r="G11" s="186">
        <f>-G123</f>
        <v>-454557</v>
      </c>
      <c r="H11" s="186">
        <f>-H123</f>
        <v>12699967.12</v>
      </c>
    </row>
    <row r="12" spans="1:9" ht="12.75">
      <c r="A12" s="265" t="s">
        <v>650</v>
      </c>
      <c r="B12" s="183" t="s">
        <v>408</v>
      </c>
      <c r="D12" s="186">
        <f>-D171</f>
        <v>134478.6799999997</v>
      </c>
      <c r="E12" s="186">
        <f>-E171</f>
        <v>0</v>
      </c>
      <c r="F12" s="186">
        <f>-F171</f>
        <v>-42637279.14</v>
      </c>
      <c r="G12" s="186">
        <f>-G171</f>
        <v>0</v>
      </c>
      <c r="H12" s="186">
        <f>-H171</f>
        <v>66080</v>
      </c>
      <c r="I12" s="186"/>
    </row>
    <row r="13" spans="1:10" ht="12.75">
      <c r="A13" s="265" t="s">
        <v>651</v>
      </c>
      <c r="B13" s="183" t="s">
        <v>409</v>
      </c>
      <c r="D13" s="186">
        <f>+D91</f>
        <v>24936348.560000014</v>
      </c>
      <c r="E13" s="186">
        <f>+E91</f>
        <v>0</v>
      </c>
      <c r="F13" s="187">
        <f>+F91</f>
        <v>3106990.5700000003</v>
      </c>
      <c r="G13" s="187">
        <f>+G91</f>
        <v>12707353.509999998</v>
      </c>
      <c r="H13" s="187">
        <f>+H91</f>
        <v>2464463.94</v>
      </c>
      <c r="I13" s="187" t="s">
        <v>105</v>
      </c>
      <c r="J13" s="188" t="s">
        <v>105</v>
      </c>
    </row>
    <row r="14" spans="2:9" ht="12.75">
      <c r="B14" s="183" t="s">
        <v>410</v>
      </c>
      <c r="D14" s="186">
        <f>SUM(D11:D13)</f>
        <v>25070827.240000013</v>
      </c>
      <c r="E14" s="186">
        <f>SUM(E11:E13)</f>
        <v>0</v>
      </c>
      <c r="F14" s="187">
        <f>SUM(F11:F13)</f>
        <v>-323545575.24999994</v>
      </c>
      <c r="G14" s="187">
        <f>SUM(G11:G13)</f>
        <v>12252796.509999998</v>
      </c>
      <c r="H14" s="187">
        <f>SUM(H11:H13)</f>
        <v>15230511.059999999</v>
      </c>
      <c r="I14" s="216">
        <f>SUM(D14:H14)</f>
        <v>-270991440.43999994</v>
      </c>
    </row>
    <row r="15" spans="2:8" ht="12.75">
      <c r="B15" s="183" t="s">
        <v>817</v>
      </c>
      <c r="G15" s="189">
        <f>+WEN!J143</f>
        <v>0.05136150696490391</v>
      </c>
      <c r="H15" s="268"/>
    </row>
    <row r="16" spans="2:8" ht="12.75">
      <c r="B16" s="190" t="s">
        <v>411</v>
      </c>
      <c r="F16" s="189">
        <f>+WEN!H18</f>
        <v>0.13321271979004043</v>
      </c>
      <c r="H16" s="189"/>
    </row>
    <row r="17" spans="2:9" ht="12.75">
      <c r="B17" s="183" t="s">
        <v>406</v>
      </c>
      <c r="F17" s="191">
        <f>+F16*F14</f>
        <v>-43100386.05508568</v>
      </c>
      <c r="G17" s="187">
        <f>+G15*G14</f>
        <v>629322.0932879152</v>
      </c>
      <c r="H17" s="191">
        <f>+H16*H14</f>
        <v>0</v>
      </c>
      <c r="I17" s="187">
        <f>SUM(E17:H17)</f>
        <v>-42471063.96179777</v>
      </c>
    </row>
    <row r="18" ht="21">
      <c r="A18" s="388" t="str">
        <f>A1</f>
        <v>Worksheet E-WEN ADIT</v>
      </c>
    </row>
    <row r="19" spans="1:10" ht="21">
      <c r="A19" s="388"/>
      <c r="I19" s="418"/>
      <c r="J19" s="410" t="s">
        <v>86</v>
      </c>
    </row>
    <row r="20" spans="1:10" ht="17.25">
      <c r="A20" s="531" t="str">
        <f>A3</f>
        <v>Westar Energy, Inc.</v>
      </c>
      <c r="B20" s="522"/>
      <c r="C20" s="522"/>
      <c r="D20" s="522"/>
      <c r="E20" s="522"/>
      <c r="F20" s="522"/>
      <c r="G20" s="522"/>
      <c r="H20" s="522"/>
      <c r="I20" s="522"/>
      <c r="J20" s="522"/>
    </row>
    <row r="21" spans="1:10" ht="17.25">
      <c r="A21" s="531" t="str">
        <f>A4</f>
        <v>Allocation of ADIT</v>
      </c>
      <c r="B21" s="522"/>
      <c r="C21" s="522"/>
      <c r="D21" s="522"/>
      <c r="E21" s="522"/>
      <c r="F21" s="522"/>
      <c r="G21" s="522"/>
      <c r="H21" s="522"/>
      <c r="I21" s="522"/>
      <c r="J21" s="522"/>
    </row>
    <row r="22" spans="7:8" ht="12.75">
      <c r="G22" s="183"/>
      <c r="H22" s="183"/>
    </row>
    <row r="23" spans="2:10" ht="12.75">
      <c r="B23" s="183" t="s">
        <v>409</v>
      </c>
      <c r="C23" s="185" t="s">
        <v>394</v>
      </c>
      <c r="D23" s="185" t="s">
        <v>395</v>
      </c>
      <c r="E23" s="185" t="s">
        <v>396</v>
      </c>
      <c r="F23" s="185" t="s">
        <v>397</v>
      </c>
      <c r="G23" s="185" t="s">
        <v>398</v>
      </c>
      <c r="H23" s="185" t="s">
        <v>399</v>
      </c>
      <c r="I23" s="185" t="s">
        <v>400</v>
      </c>
      <c r="J23" s="185" t="s">
        <v>400</v>
      </c>
    </row>
    <row r="24" spans="4:10" ht="12.75">
      <c r="D24" s="184">
        <v>1</v>
      </c>
      <c r="E24" s="184">
        <v>1</v>
      </c>
      <c r="F24" s="185"/>
      <c r="G24" s="185"/>
      <c r="H24" s="184" t="s">
        <v>659</v>
      </c>
      <c r="I24" s="185" t="s">
        <v>412</v>
      </c>
      <c r="J24" s="192" t="s">
        <v>105</v>
      </c>
    </row>
    <row r="25" spans="3:10" ht="12.75">
      <c r="C25" s="192">
        <v>2005</v>
      </c>
      <c r="D25" s="185" t="s">
        <v>402</v>
      </c>
      <c r="E25" s="185" t="s">
        <v>137</v>
      </c>
      <c r="F25" s="185" t="s">
        <v>403</v>
      </c>
      <c r="G25" s="185" t="s">
        <v>404</v>
      </c>
      <c r="H25" s="185" t="s">
        <v>660</v>
      </c>
      <c r="I25" s="185" t="s">
        <v>413</v>
      </c>
      <c r="J25" s="192" t="s">
        <v>7</v>
      </c>
    </row>
    <row r="26" spans="3:10" ht="12.75">
      <c r="C26" s="192" t="s">
        <v>414</v>
      </c>
      <c r="D26" s="185" t="s">
        <v>405</v>
      </c>
      <c r="E26" s="185" t="s">
        <v>405</v>
      </c>
      <c r="F26" s="185" t="s">
        <v>405</v>
      </c>
      <c r="G26" s="185" t="s">
        <v>405</v>
      </c>
      <c r="H26" s="185" t="s">
        <v>661</v>
      </c>
      <c r="I26" s="185" t="s">
        <v>415</v>
      </c>
      <c r="J26" s="192" t="s">
        <v>8</v>
      </c>
    </row>
    <row r="27" spans="2:8" ht="13.5">
      <c r="B27" s="194"/>
      <c r="F27" s="195"/>
      <c r="G27" s="195"/>
      <c r="H27" s="195"/>
    </row>
    <row r="28" spans="1:10" s="195" customFormat="1" ht="12.75">
      <c r="A28" s="195">
        <v>1900140</v>
      </c>
      <c r="B28" s="195" t="s">
        <v>416</v>
      </c>
      <c r="C28" s="479">
        <v>15753292.580000002</v>
      </c>
      <c r="D28" s="196">
        <f>+C28</f>
        <v>15753292.580000002</v>
      </c>
      <c r="E28" s="196"/>
      <c r="F28" s="196" t="s">
        <v>105</v>
      </c>
      <c r="G28" s="196"/>
      <c r="H28" s="196"/>
      <c r="J28" s="195" t="s">
        <v>417</v>
      </c>
    </row>
    <row r="29" spans="1:8" ht="12.75">
      <c r="A29" s="197" t="s">
        <v>105</v>
      </c>
      <c r="B29" s="198" t="s">
        <v>105</v>
      </c>
      <c r="C29" s="199" t="s">
        <v>105</v>
      </c>
      <c r="D29" s="199"/>
      <c r="E29" s="199"/>
      <c r="F29" s="199" t="s">
        <v>105</v>
      </c>
      <c r="G29" s="196"/>
      <c r="H29" s="196"/>
    </row>
    <row r="30" spans="2:8" ht="12.75">
      <c r="B30" s="198" t="s">
        <v>418</v>
      </c>
      <c r="C30" s="186"/>
      <c r="D30" s="186"/>
      <c r="E30" s="186"/>
      <c r="F30" s="186"/>
      <c r="G30" s="196"/>
      <c r="H30" s="196"/>
    </row>
    <row r="31" spans="1:10" ht="26.25">
      <c r="A31" s="200">
        <v>1901013</v>
      </c>
      <c r="B31" s="200" t="s">
        <v>419</v>
      </c>
      <c r="C31" s="479">
        <v>-240326.44</v>
      </c>
      <c r="D31" s="206">
        <f>C31</f>
        <v>-240326.44</v>
      </c>
      <c r="E31" s="201"/>
      <c r="F31" s="201"/>
      <c r="G31" s="196"/>
      <c r="I31" s="202" t="s">
        <v>420</v>
      </c>
      <c r="J31" s="203" t="s">
        <v>421</v>
      </c>
    </row>
    <row r="32" spans="1:10" ht="12.75">
      <c r="A32" s="181">
        <v>1901110</v>
      </c>
      <c r="B32" s="181" t="s">
        <v>422</v>
      </c>
      <c r="C32" s="479">
        <v>429368</v>
      </c>
      <c r="D32" s="186"/>
      <c r="E32" s="186"/>
      <c r="F32" s="186"/>
      <c r="G32" s="196"/>
      <c r="H32" s="196">
        <f>C32</f>
        <v>429368</v>
      </c>
      <c r="I32" s="204" t="s">
        <v>420</v>
      </c>
      <c r="J32" s="181" t="s">
        <v>423</v>
      </c>
    </row>
    <row r="33" spans="1:10" ht="12.75">
      <c r="A33" s="181">
        <v>1901015</v>
      </c>
      <c r="B33" s="181" t="s">
        <v>424</v>
      </c>
      <c r="C33" s="479">
        <v>-5333702.16</v>
      </c>
      <c r="D33" s="186"/>
      <c r="E33" s="186"/>
      <c r="F33" s="186">
        <f aca="true" t="shared" si="0" ref="F33:F44">+C33-G33</f>
        <v>0</v>
      </c>
      <c r="G33" s="196">
        <f>+C33</f>
        <v>-5333702.16</v>
      </c>
      <c r="H33" s="196"/>
      <c r="I33" s="204" t="s">
        <v>420</v>
      </c>
      <c r="J33" s="181" t="s">
        <v>425</v>
      </c>
    </row>
    <row r="34" spans="1:10" ht="12.75">
      <c r="A34" s="181">
        <v>1901016</v>
      </c>
      <c r="B34" s="181" t="s">
        <v>426</v>
      </c>
      <c r="C34" s="479">
        <v>227816.34</v>
      </c>
      <c r="D34" s="186"/>
      <c r="E34" s="186"/>
      <c r="F34" s="186">
        <f t="shared" si="0"/>
        <v>0</v>
      </c>
      <c r="G34" s="196">
        <f>+C34</f>
        <v>227816.34</v>
      </c>
      <c r="H34" s="196"/>
      <c r="I34" s="204" t="s">
        <v>420</v>
      </c>
      <c r="J34" s="181" t="s">
        <v>427</v>
      </c>
    </row>
    <row r="35" spans="1:10" ht="12.75">
      <c r="A35" s="181">
        <v>1901018</v>
      </c>
      <c r="B35" s="181" t="s">
        <v>428</v>
      </c>
      <c r="C35" s="479">
        <v>15339.45</v>
      </c>
      <c r="D35" s="186"/>
      <c r="E35" s="186"/>
      <c r="F35" s="186"/>
      <c r="G35" s="196"/>
      <c r="H35" s="196">
        <f>C35</f>
        <v>15339.45</v>
      </c>
      <c r="I35" s="204" t="s">
        <v>420</v>
      </c>
      <c r="J35" s="181" t="s">
        <v>429</v>
      </c>
    </row>
    <row r="36" spans="1:10" ht="12.75">
      <c r="A36" s="181">
        <v>1901019</v>
      </c>
      <c r="B36" s="181" t="s">
        <v>430</v>
      </c>
      <c r="C36" s="479">
        <v>326534.67</v>
      </c>
      <c r="D36" s="186"/>
      <c r="E36" s="186"/>
      <c r="F36" s="186">
        <f t="shared" si="0"/>
        <v>326534.67</v>
      </c>
      <c r="G36" s="196"/>
      <c r="H36" s="196"/>
      <c r="I36" s="204" t="s">
        <v>420</v>
      </c>
      <c r="J36" s="181" t="s">
        <v>431</v>
      </c>
    </row>
    <row r="37" spans="1:10" s="195" customFormat="1" ht="12.75">
      <c r="A37" s="195">
        <v>1901020</v>
      </c>
      <c r="B37" s="195" t="s">
        <v>432</v>
      </c>
      <c r="C37" s="479">
        <v>639073.06</v>
      </c>
      <c r="D37" s="196"/>
      <c r="E37" s="196"/>
      <c r="F37" s="196">
        <f t="shared" si="0"/>
        <v>639073.06</v>
      </c>
      <c r="G37" s="196"/>
      <c r="H37" s="196"/>
      <c r="I37" s="204" t="s">
        <v>420</v>
      </c>
      <c r="J37" s="195" t="s">
        <v>433</v>
      </c>
    </row>
    <row r="38" spans="1:10" ht="12.75">
      <c r="A38" s="181">
        <v>1901021</v>
      </c>
      <c r="B38" s="181" t="s">
        <v>434</v>
      </c>
      <c r="C38" s="479">
        <v>377478.37</v>
      </c>
      <c r="D38" s="186"/>
      <c r="E38" s="186"/>
      <c r="F38" s="186">
        <f t="shared" si="0"/>
        <v>0</v>
      </c>
      <c r="G38" s="196">
        <f>+C38</f>
        <v>377478.37</v>
      </c>
      <c r="H38" s="196"/>
      <c r="I38" s="204" t="s">
        <v>420</v>
      </c>
      <c r="J38" s="181" t="s">
        <v>435</v>
      </c>
    </row>
    <row r="39" spans="1:10" ht="12.75">
      <c r="A39" s="181">
        <v>1902210</v>
      </c>
      <c r="B39" s="181" t="s">
        <v>436</v>
      </c>
      <c r="C39" s="479">
        <v>322219</v>
      </c>
      <c r="D39" s="186"/>
      <c r="E39" s="186"/>
      <c r="F39" s="186">
        <f t="shared" si="0"/>
        <v>322219</v>
      </c>
      <c r="G39" s="196"/>
      <c r="H39" s="196"/>
      <c r="I39" s="204" t="s">
        <v>420</v>
      </c>
      <c r="J39" s="181" t="s">
        <v>437</v>
      </c>
    </row>
    <row r="40" spans="1:10" ht="12.75">
      <c r="A40" s="181">
        <v>1901026</v>
      </c>
      <c r="B40" s="181" t="s">
        <v>438</v>
      </c>
      <c r="C40" s="479">
        <v>4083905.29</v>
      </c>
      <c r="D40" s="186"/>
      <c r="E40" s="186"/>
      <c r="F40" s="186">
        <f t="shared" si="0"/>
        <v>0</v>
      </c>
      <c r="G40" s="196">
        <f>+C40</f>
        <v>4083905.29</v>
      </c>
      <c r="H40" s="196"/>
      <c r="I40" s="204" t="s">
        <v>420</v>
      </c>
      <c r="J40" s="181" t="s">
        <v>439</v>
      </c>
    </row>
    <row r="41" spans="1:10" ht="12.75">
      <c r="A41" s="181">
        <v>1901027</v>
      </c>
      <c r="B41" s="181" t="s">
        <v>440</v>
      </c>
      <c r="C41" s="479">
        <v>1050235.58</v>
      </c>
      <c r="D41" s="186"/>
      <c r="E41" s="186"/>
      <c r="F41" s="186">
        <f t="shared" si="0"/>
        <v>1050235.58</v>
      </c>
      <c r="G41" s="196"/>
      <c r="H41" s="196"/>
      <c r="I41" s="204" t="s">
        <v>420</v>
      </c>
      <c r="J41" s="181" t="s">
        <v>441</v>
      </c>
    </row>
    <row r="42" spans="1:10" ht="12.75">
      <c r="A42" s="181">
        <v>1901032</v>
      </c>
      <c r="B42" s="181" t="s">
        <v>442</v>
      </c>
      <c r="C42" s="479">
        <v>7236250.810000002</v>
      </c>
      <c r="D42" s="186">
        <f>+C42</f>
        <v>7236250.810000002</v>
      </c>
      <c r="E42" s="186"/>
      <c r="G42" s="196"/>
      <c r="H42" s="196"/>
      <c r="I42" s="204" t="s">
        <v>420</v>
      </c>
      <c r="J42" s="181" t="s">
        <v>443</v>
      </c>
    </row>
    <row r="43" spans="1:10" ht="12.75">
      <c r="A43" s="181">
        <v>1901034</v>
      </c>
      <c r="B43" s="181" t="s">
        <v>444</v>
      </c>
      <c r="C43" s="479">
        <v>745196.32</v>
      </c>
      <c r="D43" s="186"/>
      <c r="E43" s="186"/>
      <c r="F43" s="186">
        <f t="shared" si="0"/>
        <v>0</v>
      </c>
      <c r="G43" s="196">
        <f>+C43</f>
        <v>745196.32</v>
      </c>
      <c r="H43" s="196"/>
      <c r="I43" s="204" t="s">
        <v>420</v>
      </c>
      <c r="J43" s="181" t="s">
        <v>445</v>
      </c>
    </row>
    <row r="44" spans="1:10" ht="12.75">
      <c r="A44" s="181">
        <v>1901035</v>
      </c>
      <c r="B44" s="181" t="s">
        <v>446</v>
      </c>
      <c r="C44" s="479">
        <v>566979.39</v>
      </c>
      <c r="D44" s="186"/>
      <c r="E44" s="186"/>
      <c r="F44" s="186">
        <f t="shared" si="0"/>
        <v>566979.39</v>
      </c>
      <c r="G44" s="196"/>
      <c r="H44" s="196"/>
      <c r="I44" s="204" t="s">
        <v>420</v>
      </c>
      <c r="J44" s="181" t="s">
        <v>447</v>
      </c>
    </row>
    <row r="45" spans="1:10" ht="26.25">
      <c r="A45" s="200">
        <v>1901036</v>
      </c>
      <c r="B45" s="200" t="s">
        <v>448</v>
      </c>
      <c r="C45" s="479">
        <v>253582.12</v>
      </c>
      <c r="D45" s="201">
        <f>+C45</f>
        <v>253582.12</v>
      </c>
      <c r="E45" s="201"/>
      <c r="F45" s="201">
        <f>+C45-D45-E45-G45</f>
        <v>0</v>
      </c>
      <c r="G45" s="196"/>
      <c r="H45" s="196"/>
      <c r="I45" s="202" t="s">
        <v>420</v>
      </c>
      <c r="J45" s="203" t="s">
        <v>449</v>
      </c>
    </row>
    <row r="46" spans="1:10" s="195" customFormat="1" ht="12.75">
      <c r="A46" s="205">
        <v>1901040</v>
      </c>
      <c r="B46" s="205" t="s">
        <v>450</v>
      </c>
      <c r="C46" s="479">
        <v>2854734.12</v>
      </c>
      <c r="D46" s="206">
        <f>+C46</f>
        <v>2854734.12</v>
      </c>
      <c r="E46" s="206"/>
      <c r="F46" s="201">
        <f>+C46-D46-E46-G46</f>
        <v>0</v>
      </c>
      <c r="G46" s="206"/>
      <c r="H46" s="206"/>
      <c r="I46" s="202" t="s">
        <v>420</v>
      </c>
      <c r="J46" s="207" t="s">
        <v>451</v>
      </c>
    </row>
    <row r="47" spans="1:10" ht="12.75">
      <c r="A47" s="181">
        <v>1901042</v>
      </c>
      <c r="B47" s="181" t="s">
        <v>452</v>
      </c>
      <c r="C47" s="479">
        <v>-4020852</v>
      </c>
      <c r="D47" s="186">
        <f>+C47</f>
        <v>-4020852</v>
      </c>
      <c r="E47" s="186"/>
      <c r="G47" s="196"/>
      <c r="H47" s="196"/>
      <c r="I47" s="204" t="s">
        <v>420</v>
      </c>
      <c r="J47" s="181" t="s">
        <v>453</v>
      </c>
    </row>
    <row r="48" spans="1:10" ht="12.75">
      <c r="A48" s="181">
        <v>1901043</v>
      </c>
      <c r="B48" s="181" t="s">
        <v>454</v>
      </c>
      <c r="C48" s="479">
        <v>37454.94</v>
      </c>
      <c r="D48" s="186">
        <f>+C48</f>
        <v>37454.94</v>
      </c>
      <c r="E48" s="186"/>
      <c r="F48" s="201">
        <f>+C48-D48-E48-G48</f>
        <v>0</v>
      </c>
      <c r="G48" s="196"/>
      <c r="H48" s="196"/>
      <c r="I48" s="204" t="s">
        <v>420</v>
      </c>
      <c r="J48" s="181" t="s">
        <v>455</v>
      </c>
    </row>
    <row r="49" spans="1:10" ht="17.25" customHeight="1">
      <c r="A49" s="200">
        <v>1901044</v>
      </c>
      <c r="B49" s="200" t="s">
        <v>456</v>
      </c>
      <c r="C49" s="479">
        <v>1995890.44</v>
      </c>
      <c r="D49" s="201"/>
      <c r="E49" s="201"/>
      <c r="F49" s="201"/>
      <c r="G49" s="206"/>
      <c r="H49" s="206">
        <f>C49</f>
        <v>1995890.44</v>
      </c>
      <c r="I49" s="202" t="s">
        <v>420</v>
      </c>
      <c r="J49" s="208" t="s">
        <v>457</v>
      </c>
    </row>
    <row r="50" spans="1:10" ht="12.75">
      <c r="A50" s="181">
        <v>1901045</v>
      </c>
      <c r="B50" s="181" t="s">
        <v>458</v>
      </c>
      <c r="C50" s="479">
        <v>-1850570.35</v>
      </c>
      <c r="D50" s="186"/>
      <c r="E50" s="186"/>
      <c r="F50" s="186">
        <f>+C50-G50</f>
        <v>0</v>
      </c>
      <c r="G50" s="196">
        <f>+C50</f>
        <v>-1850570.35</v>
      </c>
      <c r="H50" s="196"/>
      <c r="I50" s="204" t="s">
        <v>420</v>
      </c>
      <c r="J50" s="181" t="s">
        <v>459</v>
      </c>
    </row>
    <row r="51" spans="1:10" ht="12.75">
      <c r="A51" s="200">
        <v>1901046</v>
      </c>
      <c r="B51" s="200" t="s">
        <v>460</v>
      </c>
      <c r="C51" s="479">
        <v>1710054</v>
      </c>
      <c r="D51" s="201">
        <f>+C51</f>
        <v>1710054</v>
      </c>
      <c r="E51" s="201"/>
      <c r="G51" s="196"/>
      <c r="H51" s="196"/>
      <c r="I51" s="202" t="s">
        <v>420</v>
      </c>
      <c r="J51" s="203" t="s">
        <v>461</v>
      </c>
    </row>
    <row r="52" spans="1:10" ht="12.75">
      <c r="A52" s="499">
        <v>1901047</v>
      </c>
      <c r="B52" s="500" t="s">
        <v>749</v>
      </c>
      <c r="C52" s="501">
        <v>120853</v>
      </c>
      <c r="D52" s="201">
        <f>+C52</f>
        <v>120853</v>
      </c>
      <c r="E52" s="201"/>
      <c r="G52" s="196"/>
      <c r="H52" s="196"/>
      <c r="I52" s="202" t="s">
        <v>420</v>
      </c>
      <c r="J52" s="505" t="s">
        <v>482</v>
      </c>
    </row>
    <row r="53" spans="1:10" ht="12.75">
      <c r="A53" s="499">
        <v>1901048</v>
      </c>
      <c r="B53" s="500" t="s">
        <v>748</v>
      </c>
      <c r="C53" s="501">
        <v>246011</v>
      </c>
      <c r="D53" s="201">
        <f>+C53</f>
        <v>246011</v>
      </c>
      <c r="E53" s="201"/>
      <c r="G53" s="196"/>
      <c r="H53" s="196"/>
      <c r="I53" s="202" t="s">
        <v>420</v>
      </c>
      <c r="J53" s="505" t="s">
        <v>483</v>
      </c>
    </row>
    <row r="54" spans="1:10" ht="12.75">
      <c r="A54" s="181">
        <v>1901085</v>
      </c>
      <c r="B54" s="181" t="s">
        <v>462</v>
      </c>
      <c r="C54" s="479">
        <v>961627.05</v>
      </c>
      <c r="D54" s="186">
        <f>+C54</f>
        <v>961627.05</v>
      </c>
      <c r="E54" s="186"/>
      <c r="F54" s="201">
        <f>+C54-D54-E54-G54</f>
        <v>0</v>
      </c>
      <c r="G54" s="196"/>
      <c r="H54" s="196"/>
      <c r="I54" s="204" t="s">
        <v>420</v>
      </c>
      <c r="J54" s="181" t="s">
        <v>463</v>
      </c>
    </row>
    <row r="55" spans="1:10" ht="12.75">
      <c r="A55" s="181">
        <v>1901086</v>
      </c>
      <c r="B55" s="181" t="s">
        <v>464</v>
      </c>
      <c r="C55" s="479">
        <v>330195.14</v>
      </c>
      <c r="D55" s="186"/>
      <c r="E55" s="186"/>
      <c r="F55" s="186">
        <f>+C55-G55</f>
        <v>0</v>
      </c>
      <c r="G55" s="196">
        <f>+C55</f>
        <v>330195.14</v>
      </c>
      <c r="H55" s="196"/>
      <c r="I55" s="204" t="s">
        <v>420</v>
      </c>
      <c r="J55" s="181" t="s">
        <v>465</v>
      </c>
    </row>
    <row r="56" spans="1:10" ht="12.75">
      <c r="A56" s="181">
        <v>1901087</v>
      </c>
      <c r="B56" s="181" t="s">
        <v>466</v>
      </c>
      <c r="C56" s="479">
        <v>7836815.52</v>
      </c>
      <c r="D56" s="186"/>
      <c r="E56" s="186"/>
      <c r="F56" s="186">
        <f>+C56-G56</f>
        <v>0</v>
      </c>
      <c r="G56" s="196">
        <f>+C56</f>
        <v>7836815.52</v>
      </c>
      <c r="H56" s="196"/>
      <c r="I56" s="204" t="s">
        <v>420</v>
      </c>
      <c r="J56" s="181" t="s">
        <v>467</v>
      </c>
    </row>
    <row r="57" spans="1:10" s="195" customFormat="1" ht="12.75">
      <c r="A57" s="205">
        <v>1901090</v>
      </c>
      <c r="B57" s="205" t="s">
        <v>468</v>
      </c>
      <c r="C57" s="479">
        <v>9350251.95</v>
      </c>
      <c r="D57" s="206">
        <f>+C57</f>
        <v>9350251.95</v>
      </c>
      <c r="E57" s="206"/>
      <c r="F57" s="201">
        <f>+C57-D57-E57-G57</f>
        <v>0</v>
      </c>
      <c r="G57" s="196"/>
      <c r="H57" s="196"/>
      <c r="I57" s="202" t="s">
        <v>420</v>
      </c>
      <c r="J57" s="203" t="s">
        <v>480</v>
      </c>
    </row>
    <row r="58" spans="1:10" ht="26.25">
      <c r="A58" s="200">
        <v>1901091</v>
      </c>
      <c r="B58" s="200" t="s">
        <v>481</v>
      </c>
      <c r="C58" s="479">
        <v>1393280.42</v>
      </c>
      <c r="D58" s="201">
        <f>+C58</f>
        <v>1393280.42</v>
      </c>
      <c r="E58" s="201"/>
      <c r="F58" s="201">
        <f>+C58-D58-E58-G58</f>
        <v>0</v>
      </c>
      <c r="G58" s="196"/>
      <c r="H58" s="196"/>
      <c r="I58" s="202" t="s">
        <v>420</v>
      </c>
      <c r="J58" s="203" t="s">
        <v>486</v>
      </c>
    </row>
    <row r="59" spans="1:10" ht="12.75">
      <c r="A59" s="209">
        <v>1901092</v>
      </c>
      <c r="B59" s="209" t="s">
        <v>487</v>
      </c>
      <c r="C59" s="479">
        <v>5033427.59</v>
      </c>
      <c r="D59" s="186">
        <f>+C59</f>
        <v>5033427.59</v>
      </c>
      <c r="E59" s="186"/>
      <c r="F59" s="210" t="s">
        <v>488</v>
      </c>
      <c r="G59" s="196"/>
      <c r="H59" s="196"/>
      <c r="I59" s="204" t="s">
        <v>489</v>
      </c>
      <c r="J59" s="209" t="s">
        <v>490</v>
      </c>
    </row>
    <row r="60" spans="1:10" ht="12.75">
      <c r="A60" s="181">
        <v>1901093</v>
      </c>
      <c r="B60" s="181" t="s">
        <v>491</v>
      </c>
      <c r="C60" s="479">
        <v>6290219.04</v>
      </c>
      <c r="D60" s="186"/>
      <c r="E60" s="186"/>
      <c r="F60" s="186">
        <f>+C60-G60</f>
        <v>0</v>
      </c>
      <c r="G60" s="196">
        <f>+C60</f>
        <v>6290219.04</v>
      </c>
      <c r="H60" s="196"/>
      <c r="I60" s="204" t="s">
        <v>420</v>
      </c>
      <c r="J60" s="181" t="s">
        <v>492</v>
      </c>
    </row>
    <row r="61" spans="1:10" ht="12.75">
      <c r="A61" s="200">
        <v>1901094</v>
      </c>
      <c r="B61" s="200" t="s">
        <v>493</v>
      </c>
      <c r="C61" s="479">
        <v>0</v>
      </c>
      <c r="D61" s="201"/>
      <c r="E61" s="201"/>
      <c r="F61" s="201">
        <f>+C61-G61</f>
        <v>0</v>
      </c>
      <c r="G61" s="196"/>
      <c r="H61" s="196"/>
      <c r="I61" s="202" t="s">
        <v>420</v>
      </c>
      <c r="J61" s="203" t="s">
        <v>494</v>
      </c>
    </row>
    <row r="62" spans="1:10" ht="26.25">
      <c r="A62" s="200">
        <v>1901098</v>
      </c>
      <c r="B62" s="200" t="s">
        <v>495</v>
      </c>
      <c r="C62" s="480">
        <v>201948.87</v>
      </c>
      <c r="D62" s="201"/>
      <c r="E62" s="201"/>
      <c r="F62" s="201">
        <f>+C62-G62</f>
        <v>201948.87</v>
      </c>
      <c r="G62" s="196"/>
      <c r="H62" s="196"/>
      <c r="I62" s="202" t="s">
        <v>420</v>
      </c>
      <c r="J62" s="203" t="s">
        <v>496</v>
      </c>
    </row>
    <row r="63" spans="1:10" ht="12.75">
      <c r="A63" s="181">
        <v>1901099</v>
      </c>
      <c r="B63" s="181" t="s">
        <v>497</v>
      </c>
      <c r="C63" s="480">
        <v>23866.05</v>
      </c>
      <c r="D63" s="186"/>
      <c r="E63" s="186"/>
      <c r="F63" s="186"/>
      <c r="G63" s="196"/>
      <c r="H63" s="196">
        <f>C63</f>
        <v>23866.05</v>
      </c>
      <c r="I63" s="204" t="s">
        <v>420</v>
      </c>
      <c r="J63" s="181" t="s">
        <v>498</v>
      </c>
    </row>
    <row r="64" spans="1:8" ht="12.75">
      <c r="A64" s="197" t="s">
        <v>105</v>
      </c>
      <c r="C64" s="199" t="s">
        <v>105</v>
      </c>
      <c r="D64" s="199"/>
      <c r="E64" s="199"/>
      <c r="F64" s="199" t="s">
        <v>105</v>
      </c>
      <c r="G64" s="196"/>
      <c r="H64" s="196"/>
    </row>
    <row r="65" spans="2:8" ht="12.75">
      <c r="B65" s="212" t="s">
        <v>518</v>
      </c>
      <c r="C65" s="186"/>
      <c r="D65" s="186"/>
      <c r="E65" s="186"/>
      <c r="F65" s="186"/>
      <c r="G65" s="196"/>
      <c r="H65" s="196"/>
    </row>
    <row r="66" spans="1:10" ht="12.75">
      <c r="A66" s="181">
        <v>1902030</v>
      </c>
      <c r="B66" s="181" t="s">
        <v>519</v>
      </c>
      <c r="C66" s="481" t="s">
        <v>520</v>
      </c>
      <c r="D66" s="210"/>
      <c r="E66" s="210"/>
      <c r="F66" s="186"/>
      <c r="G66" s="196"/>
      <c r="H66" s="196"/>
      <c r="I66" s="204" t="s">
        <v>489</v>
      </c>
      <c r="J66" s="181" t="s">
        <v>521</v>
      </c>
    </row>
    <row r="67" spans="1:10" ht="12.75">
      <c r="A67" s="181">
        <v>1902043</v>
      </c>
      <c r="B67" s="181" t="s">
        <v>522</v>
      </c>
      <c r="C67" s="482">
        <v>201042.51</v>
      </c>
      <c r="D67" s="186"/>
      <c r="E67" s="186"/>
      <c r="F67" s="186"/>
      <c r="G67" s="196"/>
      <c r="H67" s="196"/>
      <c r="I67" s="204" t="s">
        <v>489</v>
      </c>
      <c r="J67" s="181" t="s">
        <v>521</v>
      </c>
    </row>
    <row r="68" spans="1:10" ht="12.75">
      <c r="A68" s="181">
        <v>1902061</v>
      </c>
      <c r="B68" s="181" t="s">
        <v>523</v>
      </c>
      <c r="C68" s="482">
        <v>1017059.33</v>
      </c>
      <c r="D68" s="186"/>
      <c r="E68" s="186"/>
      <c r="F68" s="186"/>
      <c r="G68" s="196"/>
      <c r="H68" s="196"/>
      <c r="I68" s="204" t="s">
        <v>489</v>
      </c>
      <c r="J68" s="181" t="s">
        <v>521</v>
      </c>
    </row>
    <row r="69" spans="1:10" ht="12.75">
      <c r="A69" s="181">
        <v>1902062</v>
      </c>
      <c r="B69" s="181" t="s">
        <v>524</v>
      </c>
      <c r="C69" s="482">
        <v>1459720.84</v>
      </c>
      <c r="D69" s="186"/>
      <c r="E69" s="186"/>
      <c r="F69" s="186"/>
      <c r="G69" s="196"/>
      <c r="H69" s="196"/>
      <c r="I69" s="204" t="s">
        <v>489</v>
      </c>
      <c r="J69" s="181" t="s">
        <v>521</v>
      </c>
    </row>
    <row r="70" spans="1:10" ht="12.75">
      <c r="A70" s="181">
        <v>1902065</v>
      </c>
      <c r="B70" s="181" t="s">
        <v>525</v>
      </c>
      <c r="C70" s="482">
        <v>-580524.66</v>
      </c>
      <c r="D70" s="186"/>
      <c r="E70" s="186"/>
      <c r="F70" s="186"/>
      <c r="G70" s="196"/>
      <c r="H70" s="196"/>
      <c r="I70" s="204" t="s">
        <v>489</v>
      </c>
      <c r="J70" s="181" t="s">
        <v>521</v>
      </c>
    </row>
    <row r="71" spans="1:10" ht="12.75">
      <c r="A71" s="181">
        <v>1902066</v>
      </c>
      <c r="B71" s="181" t="s">
        <v>526</v>
      </c>
      <c r="C71" s="482">
        <v>47179.32</v>
      </c>
      <c r="D71" s="186"/>
      <c r="E71" s="186"/>
      <c r="F71" s="186"/>
      <c r="G71" s="196"/>
      <c r="H71" s="196"/>
      <c r="I71" s="204" t="s">
        <v>489</v>
      </c>
      <c r="J71" s="181" t="s">
        <v>521</v>
      </c>
    </row>
    <row r="72" spans="1:10" ht="12.75">
      <c r="A72" s="181">
        <v>1902068</v>
      </c>
      <c r="B72" s="181" t="s">
        <v>527</v>
      </c>
      <c r="C72" s="482">
        <v>21718.19</v>
      </c>
      <c r="D72" s="186"/>
      <c r="E72" s="186"/>
      <c r="F72" s="186"/>
      <c r="G72" s="196"/>
      <c r="H72" s="196"/>
      <c r="I72" s="204" t="s">
        <v>489</v>
      </c>
      <c r="J72" s="181" t="s">
        <v>521</v>
      </c>
    </row>
    <row r="73" spans="1:10" ht="12.75">
      <c r="A73" s="181">
        <v>1902069</v>
      </c>
      <c r="B73" s="181" t="s">
        <v>528</v>
      </c>
      <c r="C73" s="482">
        <v>2493126</v>
      </c>
      <c r="D73" s="186"/>
      <c r="E73" s="186"/>
      <c r="F73" s="186"/>
      <c r="G73" s="196"/>
      <c r="H73" s="196"/>
      <c r="I73" s="204" t="s">
        <v>489</v>
      </c>
      <c r="J73" s="181" t="s">
        <v>521</v>
      </c>
    </row>
    <row r="74" spans="1:10" ht="12.75">
      <c r="A74" s="181">
        <v>1902072</v>
      </c>
      <c r="B74" s="181" t="s">
        <v>529</v>
      </c>
      <c r="C74" s="482">
        <v>26675.019999999553</v>
      </c>
      <c r="D74" s="186"/>
      <c r="E74" s="186"/>
      <c r="F74" s="186"/>
      <c r="G74" s="196"/>
      <c r="H74" s="196"/>
      <c r="I74" s="204" t="s">
        <v>489</v>
      </c>
      <c r="J74" s="181" t="s">
        <v>521</v>
      </c>
    </row>
    <row r="75" spans="1:10" ht="12.75">
      <c r="A75" s="181">
        <v>1902073</v>
      </c>
      <c r="B75" s="181" t="s">
        <v>530</v>
      </c>
      <c r="C75" s="482">
        <v>-48447.01</v>
      </c>
      <c r="D75" s="186"/>
      <c r="E75" s="186"/>
      <c r="F75" s="186"/>
      <c r="G75" s="196"/>
      <c r="H75" s="196"/>
      <c r="I75" s="204" t="s">
        <v>489</v>
      </c>
      <c r="J75" s="181" t="s">
        <v>521</v>
      </c>
    </row>
    <row r="76" spans="1:10" ht="12.75">
      <c r="A76" s="181">
        <v>1902075</v>
      </c>
      <c r="B76" s="181" t="s">
        <v>531</v>
      </c>
      <c r="C76" s="482">
        <v>7083316.0200000005</v>
      </c>
      <c r="D76" s="186"/>
      <c r="E76" s="186"/>
      <c r="F76" s="186"/>
      <c r="G76" s="196"/>
      <c r="H76" s="196"/>
      <c r="I76" s="204" t="s">
        <v>489</v>
      </c>
      <c r="J76" s="181" t="s">
        <v>521</v>
      </c>
    </row>
    <row r="77" spans="1:10" ht="12.75">
      <c r="A77" s="181">
        <v>1902076</v>
      </c>
      <c r="B77" s="181" t="s">
        <v>532</v>
      </c>
      <c r="C77" s="482">
        <v>342204</v>
      </c>
      <c r="D77" s="186"/>
      <c r="E77" s="186"/>
      <c r="F77" s="186"/>
      <c r="G77" s="196"/>
      <c r="H77" s="196"/>
      <c r="I77" s="204" t="s">
        <v>489</v>
      </c>
      <c r="J77" s="181" t="s">
        <v>521</v>
      </c>
    </row>
    <row r="78" spans="1:10" ht="12.75">
      <c r="A78" s="181">
        <v>1902079</v>
      </c>
      <c r="B78" s="181" t="s">
        <v>533</v>
      </c>
      <c r="C78" s="483">
        <v>0</v>
      </c>
      <c r="D78" s="186"/>
      <c r="E78" s="186"/>
      <c r="F78" s="186"/>
      <c r="G78" s="196"/>
      <c r="H78" s="196"/>
      <c r="I78" s="204" t="s">
        <v>489</v>
      </c>
      <c r="J78" s="181" t="s">
        <v>521</v>
      </c>
    </row>
    <row r="79" spans="1:10" ht="12.75">
      <c r="A79" s="181">
        <v>1902082</v>
      </c>
      <c r="B79" s="181" t="s">
        <v>534</v>
      </c>
      <c r="C79" s="482">
        <v>3836800.31</v>
      </c>
      <c r="D79" s="186"/>
      <c r="E79" s="186"/>
      <c r="F79" s="186"/>
      <c r="G79" s="196"/>
      <c r="H79" s="196"/>
      <c r="I79" s="204" t="s">
        <v>489</v>
      </c>
      <c r="J79" s="181" t="s">
        <v>521</v>
      </c>
    </row>
    <row r="80" spans="1:10" ht="12.75">
      <c r="A80" s="181">
        <v>1902083</v>
      </c>
      <c r="B80" s="181" t="s">
        <v>535</v>
      </c>
      <c r="C80" s="482">
        <v>11235580.73</v>
      </c>
      <c r="D80" s="186"/>
      <c r="E80" s="186"/>
      <c r="F80" s="186"/>
      <c r="G80" s="196"/>
      <c r="H80" s="196"/>
      <c r="I80" s="204" t="s">
        <v>489</v>
      </c>
      <c r="J80" s="181" t="s">
        <v>521</v>
      </c>
    </row>
    <row r="81" spans="1:10" ht="12.75">
      <c r="A81" s="181">
        <v>1902084</v>
      </c>
      <c r="B81" s="181" t="s">
        <v>536</v>
      </c>
      <c r="C81" s="482">
        <v>-3836800.31</v>
      </c>
      <c r="D81" s="186"/>
      <c r="E81" s="186"/>
      <c r="F81" s="186"/>
      <c r="G81" s="196"/>
      <c r="H81" s="196"/>
      <c r="I81" s="204" t="s">
        <v>489</v>
      </c>
      <c r="J81" s="181" t="s">
        <v>521</v>
      </c>
    </row>
    <row r="82" spans="1:10" ht="12.75">
      <c r="A82" s="181">
        <v>1902090</v>
      </c>
      <c r="B82" s="181" t="s">
        <v>537</v>
      </c>
      <c r="C82" s="482">
        <v>6381464.96</v>
      </c>
      <c r="D82" s="186"/>
      <c r="E82" s="186"/>
      <c r="F82" s="186"/>
      <c r="G82" s="196"/>
      <c r="H82" s="196"/>
      <c r="I82" s="204" t="s">
        <v>489</v>
      </c>
      <c r="J82" s="181" t="s">
        <v>521</v>
      </c>
    </row>
    <row r="83" spans="1:10" ht="12.75">
      <c r="A83" s="181">
        <v>1902091</v>
      </c>
      <c r="B83" s="181" t="s">
        <v>538</v>
      </c>
      <c r="C83" s="482">
        <v>729416.01</v>
      </c>
      <c r="D83" s="186"/>
      <c r="E83" s="186"/>
      <c r="F83" s="186"/>
      <c r="G83" s="196"/>
      <c r="H83" s="196"/>
      <c r="I83" s="204" t="s">
        <v>489</v>
      </c>
      <c r="J83" s="181" t="s">
        <v>521</v>
      </c>
    </row>
    <row r="84" spans="1:8" ht="12.75">
      <c r="A84" s="197" t="s">
        <v>105</v>
      </c>
      <c r="C84" s="199" t="s">
        <v>105</v>
      </c>
      <c r="D84" s="199"/>
      <c r="E84" s="199"/>
      <c r="F84" s="199" t="s">
        <v>105</v>
      </c>
      <c r="G84" s="196"/>
      <c r="H84" s="196"/>
    </row>
    <row r="85" spans="2:8" ht="13.5">
      <c r="B85" s="213"/>
      <c r="C85" s="186"/>
      <c r="D85" s="186"/>
      <c r="E85" s="186"/>
      <c r="F85" s="186"/>
      <c r="G85" s="196"/>
      <c r="H85" s="196"/>
    </row>
    <row r="86" spans="1:10" ht="12.75">
      <c r="A86" s="214" t="s">
        <v>617</v>
      </c>
      <c r="B86" s="197"/>
      <c r="C86" s="199">
        <f>-C28</f>
        <v>-15753292.580000002</v>
      </c>
      <c r="D86" s="199">
        <f>-D28</f>
        <v>-15753292.580000002</v>
      </c>
      <c r="E86" s="199"/>
      <c r="F86" s="186">
        <f>+C86-D86-E86-G86</f>
        <v>0</v>
      </c>
      <c r="G86" s="196"/>
      <c r="H86" s="196"/>
      <c r="J86" s="181" t="s">
        <v>417</v>
      </c>
    </row>
    <row r="87" spans="2:8" ht="13.5">
      <c r="B87" s="213"/>
      <c r="D87" s="186"/>
      <c r="E87" s="186"/>
      <c r="F87" s="186"/>
      <c r="G87" s="196"/>
      <c r="H87" s="196"/>
    </row>
    <row r="88" spans="2:9" ht="13.5">
      <c r="B88" s="215" t="s">
        <v>539</v>
      </c>
      <c r="D88" s="186">
        <f>SUM(D28:D86)</f>
        <v>24936348.560000014</v>
      </c>
      <c r="E88" s="186">
        <f>SUM(E28:E86)</f>
        <v>0</v>
      </c>
      <c r="F88" s="196">
        <f>SUM(F28:F86)</f>
        <v>3106990.5700000003</v>
      </c>
      <c r="G88" s="196">
        <f>SUM(G28:G86)</f>
        <v>12707353.509999998</v>
      </c>
      <c r="H88" s="196">
        <f>SUM(H28:H86)</f>
        <v>2464463.94</v>
      </c>
      <c r="I88" s="216">
        <f>+D88+F88+G88+H88</f>
        <v>43215156.58000001</v>
      </c>
    </row>
    <row r="89" spans="2:9" ht="13.5">
      <c r="B89" s="217" t="s">
        <v>540</v>
      </c>
      <c r="D89" s="186"/>
      <c r="E89" s="186"/>
      <c r="F89" s="196">
        <v>0</v>
      </c>
      <c r="G89" s="218"/>
      <c r="H89" s="218"/>
      <c r="I89" s="219" t="s">
        <v>105</v>
      </c>
    </row>
    <row r="90" spans="2:9" ht="13.5">
      <c r="B90" s="217" t="s">
        <v>541</v>
      </c>
      <c r="D90" s="186"/>
      <c r="E90" s="186"/>
      <c r="F90" s="196">
        <v>0</v>
      </c>
      <c r="G90" s="196">
        <f>G54+G51</f>
        <v>0</v>
      </c>
      <c r="H90" s="196">
        <f>H54+H51</f>
        <v>0</v>
      </c>
      <c r="I90" s="220" t="s">
        <v>105</v>
      </c>
    </row>
    <row r="91" spans="2:9" ht="13.5">
      <c r="B91" s="217" t="s">
        <v>113</v>
      </c>
      <c r="D91" s="196">
        <f>+D88-D89-D90</f>
        <v>24936348.560000014</v>
      </c>
      <c r="E91" s="196">
        <f>+E88-E89-E90</f>
        <v>0</v>
      </c>
      <c r="F91" s="196">
        <f>+F88-F89-F90</f>
        <v>3106990.5700000003</v>
      </c>
      <c r="G91" s="196">
        <f>+G88-G89-G90</f>
        <v>12707353.509999998</v>
      </c>
      <c r="H91" s="196">
        <f>+H88-H89-H90</f>
        <v>2464463.94</v>
      </c>
      <c r="I91" s="187" t="s">
        <v>105</v>
      </c>
    </row>
    <row r="92" spans="1:8" ht="21">
      <c r="A92" s="388" t="str">
        <f>A18</f>
        <v>Worksheet E-WEN ADIT</v>
      </c>
      <c r="B92" s="224"/>
      <c r="F92" s="222"/>
      <c r="G92" s="222"/>
      <c r="H92" s="222"/>
    </row>
    <row r="93" spans="2:10" ht="15">
      <c r="B93" s="224"/>
      <c r="F93" s="222"/>
      <c r="G93" s="222"/>
      <c r="H93" s="222"/>
      <c r="J93" s="410" t="s">
        <v>87</v>
      </c>
    </row>
    <row r="94" spans="1:10" ht="17.25">
      <c r="A94" s="531" t="str">
        <f>A20</f>
        <v>Westar Energy, Inc.</v>
      </c>
      <c r="B94" s="522"/>
      <c r="C94" s="522"/>
      <c r="D94" s="522"/>
      <c r="E94" s="522"/>
      <c r="F94" s="522"/>
      <c r="G94" s="522"/>
      <c r="H94" s="522"/>
      <c r="I94" s="522"/>
      <c r="J94" s="522"/>
    </row>
    <row r="95" spans="1:10" ht="17.25">
      <c r="A95" s="531" t="str">
        <f>A21</f>
        <v>Allocation of ADIT</v>
      </c>
      <c r="B95" s="522"/>
      <c r="C95" s="522"/>
      <c r="D95" s="522"/>
      <c r="E95" s="522"/>
      <c r="F95" s="522"/>
      <c r="G95" s="522"/>
      <c r="H95" s="522"/>
      <c r="I95" s="522"/>
      <c r="J95" s="522"/>
    </row>
    <row r="96" spans="2:8" ht="13.5">
      <c r="B96" s="224"/>
      <c r="F96" s="222"/>
      <c r="G96" s="222"/>
      <c r="H96" s="222"/>
    </row>
    <row r="97" spans="2:10" ht="12.75">
      <c r="B97" s="183" t="s">
        <v>542</v>
      </c>
      <c r="C97" s="185" t="str">
        <f aca="true" t="shared" si="1" ref="C97:J97">C23</f>
        <v>(A)</v>
      </c>
      <c r="D97" s="185" t="str">
        <f t="shared" si="1"/>
        <v>(B)</v>
      </c>
      <c r="E97" s="185" t="str">
        <f t="shared" si="1"/>
        <v>(C)</v>
      </c>
      <c r="F97" s="185" t="str">
        <f t="shared" si="1"/>
        <v>(D)</v>
      </c>
      <c r="G97" s="185" t="str">
        <f t="shared" si="1"/>
        <v>(E)</v>
      </c>
      <c r="H97" s="185" t="str">
        <f>H23</f>
        <v>(F)</v>
      </c>
      <c r="I97" s="185" t="str">
        <f t="shared" si="1"/>
        <v>(G)</v>
      </c>
      <c r="J97" s="185" t="str">
        <f t="shared" si="1"/>
        <v>(G)</v>
      </c>
    </row>
    <row r="98" spans="4:10" ht="12.75">
      <c r="D98" s="184">
        <v>1</v>
      </c>
      <c r="E98" s="184">
        <v>1</v>
      </c>
      <c r="F98" s="185"/>
      <c r="G98" s="185"/>
      <c r="H98" s="185" t="str">
        <f>H24</f>
        <v>100% Retail</v>
      </c>
      <c r="I98" s="185" t="str">
        <f aca="true" t="shared" si="2" ref="I98:J100">I24</f>
        <v>In</v>
      </c>
      <c r="J98" s="185" t="str">
        <f t="shared" si="2"/>
        <v> </v>
      </c>
    </row>
    <row r="99" spans="2:10" ht="13.5">
      <c r="B99" s="217"/>
      <c r="C99" s="193">
        <v>2005</v>
      </c>
      <c r="D99" s="185" t="s">
        <v>402</v>
      </c>
      <c r="E99" s="185" t="s">
        <v>137</v>
      </c>
      <c r="F99" s="185" t="str">
        <f>F25</f>
        <v>Plant </v>
      </c>
      <c r="G99" s="185" t="str">
        <f>G25</f>
        <v>Labor</v>
      </c>
      <c r="H99" s="185" t="str">
        <f>H25</f>
        <v>[Allocate</v>
      </c>
      <c r="I99" s="185" t="str">
        <f t="shared" si="2"/>
        <v>Adjustment</v>
      </c>
      <c r="J99" s="185" t="str">
        <f t="shared" si="2"/>
        <v>Description</v>
      </c>
    </row>
    <row r="100" spans="2:10" ht="13.5">
      <c r="B100" s="194"/>
      <c r="C100" s="185" t="str">
        <f>C26</f>
        <v>YE Balance</v>
      </c>
      <c r="D100" s="185" t="s">
        <v>405</v>
      </c>
      <c r="E100" s="185" t="s">
        <v>405</v>
      </c>
      <c r="F100" s="185" t="str">
        <f>F26</f>
        <v>Related</v>
      </c>
      <c r="G100" s="185" t="str">
        <f>G26</f>
        <v>Related</v>
      </c>
      <c r="H100" s="185" t="str">
        <f>H26</f>
        <v>by Plant]</v>
      </c>
      <c r="I100" s="185" t="str">
        <f t="shared" si="2"/>
        <v>to Ratebase</v>
      </c>
      <c r="J100" s="185" t="str">
        <f t="shared" si="2"/>
        <v>and Justification</v>
      </c>
    </row>
    <row r="101" spans="6:8" ht="12.75">
      <c r="F101" s="226"/>
      <c r="G101" s="226"/>
      <c r="H101" s="226"/>
    </row>
    <row r="102" spans="2:8" ht="12.75">
      <c r="B102" s="198" t="s">
        <v>543</v>
      </c>
      <c r="F102" s="226"/>
      <c r="G102" s="226"/>
      <c r="H102" s="226"/>
    </row>
    <row r="103" spans="1:10" s="195" customFormat="1" ht="39">
      <c r="A103" s="205">
        <v>2821003</v>
      </c>
      <c r="B103" s="205" t="s">
        <v>544</v>
      </c>
      <c r="C103" s="485">
        <v>278413870.53</v>
      </c>
      <c r="D103" s="227"/>
      <c r="E103" s="227"/>
      <c r="F103" s="206">
        <f aca="true" t="shared" si="3" ref="F103:F108">+C103-G103</f>
        <v>278413870.53</v>
      </c>
      <c r="G103" s="206"/>
      <c r="H103" s="206"/>
      <c r="I103" s="228" t="s">
        <v>420</v>
      </c>
      <c r="J103" s="203" t="s">
        <v>545</v>
      </c>
    </row>
    <row r="104" spans="1:10" s="195" customFormat="1" ht="12.75">
      <c r="A104" s="229">
        <v>2821003</v>
      </c>
      <c r="B104" s="209" t="s">
        <v>546</v>
      </c>
      <c r="C104" s="486">
        <v>0</v>
      </c>
      <c r="D104" s="230"/>
      <c r="E104" s="230"/>
      <c r="F104" s="206">
        <f t="shared" si="3"/>
        <v>0</v>
      </c>
      <c r="G104" s="206"/>
      <c r="H104" s="206"/>
      <c r="I104" s="228" t="s">
        <v>420</v>
      </c>
      <c r="J104" s="203" t="s">
        <v>547</v>
      </c>
    </row>
    <row r="105" spans="1:10" ht="26.25">
      <c r="A105" s="200">
        <v>2821004</v>
      </c>
      <c r="B105" s="200" t="s">
        <v>548</v>
      </c>
      <c r="C105" s="484">
        <v>1811452.32</v>
      </c>
      <c r="D105" s="231"/>
      <c r="E105" s="231"/>
      <c r="F105" s="201">
        <f t="shared" si="3"/>
        <v>1811452.32</v>
      </c>
      <c r="G105" s="206"/>
      <c r="H105" s="206"/>
      <c r="I105" s="202" t="s">
        <v>420</v>
      </c>
      <c r="J105" s="203" t="s">
        <v>549</v>
      </c>
    </row>
    <row r="106" spans="1:10" ht="19.5" customHeight="1">
      <c r="A106" s="200">
        <v>2821005</v>
      </c>
      <c r="B106" s="208" t="s">
        <v>550</v>
      </c>
      <c r="C106" s="484">
        <v>2181428.88</v>
      </c>
      <c r="D106" s="231"/>
      <c r="E106" s="231"/>
      <c r="F106" s="201">
        <f t="shared" si="3"/>
        <v>2181428.88</v>
      </c>
      <c r="G106" s="206"/>
      <c r="H106" s="206"/>
      <c r="I106" s="202" t="s">
        <v>420</v>
      </c>
      <c r="J106" s="208" t="s">
        <v>551</v>
      </c>
    </row>
    <row r="107" spans="1:10" s="195" customFormat="1" ht="12.75">
      <c r="A107" s="205">
        <v>2821006</v>
      </c>
      <c r="B107" s="205" t="s">
        <v>552</v>
      </c>
      <c r="C107" s="484">
        <v>454557</v>
      </c>
      <c r="D107" s="227"/>
      <c r="E107" s="227"/>
      <c r="F107" s="206">
        <f t="shared" si="3"/>
        <v>0</v>
      </c>
      <c r="G107" s="206">
        <f>C107</f>
        <v>454557</v>
      </c>
      <c r="H107" s="206"/>
      <c r="I107" s="228" t="s">
        <v>420</v>
      </c>
      <c r="J107" s="207" t="s">
        <v>553</v>
      </c>
    </row>
    <row r="108" spans="1:10" ht="12.75">
      <c r="A108" s="200">
        <v>2821007</v>
      </c>
      <c r="B108" s="200" t="s">
        <v>554</v>
      </c>
      <c r="C108" s="484">
        <v>2345687.86</v>
      </c>
      <c r="D108" s="231"/>
      <c r="E108" s="231"/>
      <c r="F108" s="201">
        <f t="shared" si="3"/>
        <v>2345687.86</v>
      </c>
      <c r="G108" s="206"/>
      <c r="H108" s="206"/>
      <c r="I108" s="228" t="s">
        <v>420</v>
      </c>
      <c r="J108" s="203" t="s">
        <v>555</v>
      </c>
    </row>
    <row r="109" spans="1:10" ht="26.25">
      <c r="A109" s="200">
        <v>2821024</v>
      </c>
      <c r="B109" s="200" t="s">
        <v>556</v>
      </c>
      <c r="C109" s="484">
        <v>-737152.91</v>
      </c>
      <c r="D109" s="231"/>
      <c r="E109" s="231"/>
      <c r="F109" s="201">
        <f>C109</f>
        <v>-737152.91</v>
      </c>
      <c r="G109" s="206"/>
      <c r="H109" s="206"/>
      <c r="I109" s="228" t="s">
        <v>420</v>
      </c>
      <c r="J109" s="203" t="s">
        <v>557</v>
      </c>
    </row>
    <row r="110" spans="1:10" ht="26.25">
      <c r="A110" s="200">
        <v>2821025</v>
      </c>
      <c r="B110" s="200" t="s">
        <v>558</v>
      </c>
      <c r="C110" s="484">
        <v>-12699967.12</v>
      </c>
      <c r="D110" s="231"/>
      <c r="E110" s="231"/>
      <c r="F110" s="201"/>
      <c r="G110" s="206"/>
      <c r="H110" s="206">
        <f>C110</f>
        <v>-12699967.12</v>
      </c>
      <c r="I110" s="228" t="s">
        <v>420</v>
      </c>
      <c r="J110" s="203" t="s">
        <v>559</v>
      </c>
    </row>
    <row r="111" spans="1:9" ht="12.75">
      <c r="A111" s="232" t="s">
        <v>105</v>
      </c>
      <c r="B111" s="200"/>
      <c r="C111" s="487" t="s">
        <v>105</v>
      </c>
      <c r="D111" s="231"/>
      <c r="E111" s="231"/>
      <c r="F111" s="231" t="s">
        <v>105</v>
      </c>
      <c r="G111" s="206"/>
      <c r="H111" s="206"/>
      <c r="I111" s="202"/>
    </row>
    <row r="112" spans="1:10" ht="26.25">
      <c r="A112" s="200">
        <v>2822003</v>
      </c>
      <c r="B112" s="208" t="s">
        <v>560</v>
      </c>
      <c r="C112" s="488">
        <v>0</v>
      </c>
      <c r="D112" s="231">
        <f>C112</f>
        <v>0</v>
      </c>
      <c r="E112" s="231"/>
      <c r="F112" s="201"/>
      <c r="G112" s="206"/>
      <c r="H112" s="206"/>
      <c r="I112" s="202" t="s">
        <v>420</v>
      </c>
      <c r="J112" s="203" t="s">
        <v>561</v>
      </c>
    </row>
    <row r="113" spans="1:8" ht="12.75">
      <c r="A113" s="197"/>
      <c r="B113" s="209"/>
      <c r="C113" s="230"/>
      <c r="D113" s="230"/>
      <c r="E113" s="230"/>
      <c r="F113" s="230"/>
      <c r="G113" s="196"/>
      <c r="H113" s="196"/>
    </row>
    <row r="114" spans="1:8" ht="26.25">
      <c r="A114" s="197"/>
      <c r="B114" s="233" t="s">
        <v>562</v>
      </c>
      <c r="C114" s="230"/>
      <c r="D114" s="230"/>
      <c r="E114" s="230"/>
      <c r="F114" s="230"/>
      <c r="G114" s="196"/>
      <c r="H114" s="196"/>
    </row>
    <row r="115" spans="1:10" ht="12.75">
      <c r="A115" s="181">
        <v>2825130</v>
      </c>
      <c r="B115" s="181" t="s">
        <v>563</v>
      </c>
      <c r="C115" s="484">
        <v>17701265</v>
      </c>
      <c r="D115" s="230"/>
      <c r="E115" s="230"/>
      <c r="F115" s="186"/>
      <c r="G115" s="196"/>
      <c r="H115" s="196"/>
      <c r="I115" s="204" t="s">
        <v>489</v>
      </c>
      <c r="J115" s="181" t="s">
        <v>490</v>
      </c>
    </row>
    <row r="116" spans="1:10" ht="12.75">
      <c r="A116" s="181">
        <v>2825230</v>
      </c>
      <c r="B116" s="181" t="s">
        <v>564</v>
      </c>
      <c r="C116" s="484">
        <v>-14169942</v>
      </c>
      <c r="D116" s="230"/>
      <c r="E116" s="230"/>
      <c r="F116" s="186"/>
      <c r="G116" s="196"/>
      <c r="H116" s="196"/>
      <c r="I116" s="204" t="s">
        <v>489</v>
      </c>
      <c r="J116" s="181" t="s">
        <v>490</v>
      </c>
    </row>
    <row r="117" spans="1:10" ht="12.75">
      <c r="A117" s="181">
        <v>2825330</v>
      </c>
      <c r="B117" s="181" t="s">
        <v>565</v>
      </c>
      <c r="C117" s="484">
        <v>67385864</v>
      </c>
      <c r="D117" s="230"/>
      <c r="E117" s="230"/>
      <c r="F117" s="186"/>
      <c r="G117" s="196"/>
      <c r="H117" s="196"/>
      <c r="I117" s="204" t="s">
        <v>489</v>
      </c>
      <c r="J117" s="181" t="s">
        <v>490</v>
      </c>
    </row>
    <row r="118" spans="1:10" ht="12.75">
      <c r="A118" s="181">
        <v>2825830</v>
      </c>
      <c r="B118" s="181" t="s">
        <v>566</v>
      </c>
      <c r="C118" s="484">
        <v>-28281999</v>
      </c>
      <c r="D118" s="230"/>
      <c r="E118" s="230"/>
      <c r="F118" s="186"/>
      <c r="G118" s="196"/>
      <c r="H118" s="196"/>
      <c r="I118" s="204" t="s">
        <v>489</v>
      </c>
      <c r="J118" s="181" t="s">
        <v>490</v>
      </c>
    </row>
    <row r="119" spans="1:8" ht="12.75">
      <c r="A119" s="197" t="s">
        <v>105</v>
      </c>
      <c r="C119" s="186"/>
      <c r="D119" s="186"/>
      <c r="E119" s="186"/>
      <c r="F119" s="230" t="s">
        <v>105</v>
      </c>
      <c r="G119" s="196"/>
      <c r="H119" s="196"/>
    </row>
    <row r="120" spans="2:9" ht="13.5">
      <c r="B120" s="215" t="s">
        <v>567</v>
      </c>
      <c r="C120" s="186"/>
      <c r="D120" s="186">
        <f>SUM(D103:D118)</f>
        <v>0</v>
      </c>
      <c r="E120" s="186">
        <f>SUM(E103:E118)</f>
        <v>0</v>
      </c>
      <c r="F120" s="196">
        <f>SUM(F103:F118)</f>
        <v>284015286.67999995</v>
      </c>
      <c r="G120" s="196">
        <f>SUM(G103:G118)</f>
        <v>454557</v>
      </c>
      <c r="H120" s="196">
        <f>SUM(H103:H118)</f>
        <v>-12699967.12</v>
      </c>
      <c r="I120" s="216">
        <f>SUM(D120:H120)</f>
        <v>271769876.55999994</v>
      </c>
    </row>
    <row r="121" spans="2:9" ht="13.5">
      <c r="B121" s="217" t="s">
        <v>540</v>
      </c>
      <c r="C121" s="186"/>
      <c r="D121" s="186"/>
      <c r="E121" s="186"/>
      <c r="F121" s="196"/>
      <c r="G121" s="196"/>
      <c r="H121" s="196"/>
      <c r="I121" s="234"/>
    </row>
    <row r="122" spans="2:9" ht="13.5">
      <c r="B122" s="217" t="s">
        <v>541</v>
      </c>
      <c r="C122" s="186"/>
      <c r="D122" s="186"/>
      <c r="E122" s="186"/>
      <c r="F122" s="196"/>
      <c r="G122" s="196"/>
      <c r="H122" s="196"/>
      <c r="I122" s="234"/>
    </row>
    <row r="123" spans="2:9" ht="13.5">
      <c r="B123" s="217" t="s">
        <v>113</v>
      </c>
      <c r="C123" s="186"/>
      <c r="D123" s="196">
        <f>+D120-D121-D122</f>
        <v>0</v>
      </c>
      <c r="E123" s="196">
        <f>+E120-E121-E122</f>
        <v>0</v>
      </c>
      <c r="F123" s="196">
        <f>+F120-F121-F122</f>
        <v>284015286.67999995</v>
      </c>
      <c r="G123" s="196">
        <f>+G120-G121-G122</f>
        <v>454557</v>
      </c>
      <c r="H123" s="196">
        <f>+H120-H121-H122</f>
        <v>-12699967.12</v>
      </c>
      <c r="I123" s="187" t="s">
        <v>105</v>
      </c>
    </row>
    <row r="124" spans="1:8" ht="21">
      <c r="A124" s="388" t="str">
        <f>A18</f>
        <v>Worksheet E-WEN ADIT</v>
      </c>
      <c r="B124" s="217"/>
      <c r="C124" s="186"/>
      <c r="D124" s="186"/>
      <c r="E124" s="186"/>
      <c r="F124" s="218"/>
      <c r="G124" s="218"/>
      <c r="H124" s="218"/>
    </row>
    <row r="125" spans="2:10" ht="15">
      <c r="B125" s="217"/>
      <c r="C125" s="186"/>
      <c r="D125" s="186"/>
      <c r="E125" s="186"/>
      <c r="F125" s="218" t="s">
        <v>105</v>
      </c>
      <c r="G125" s="218"/>
      <c r="H125" s="218"/>
      <c r="J125" s="410" t="s">
        <v>88</v>
      </c>
    </row>
    <row r="126" spans="1:10" ht="24" customHeight="1">
      <c r="A126" s="531" t="str">
        <f>A94</f>
        <v>Westar Energy, Inc.</v>
      </c>
      <c r="B126" s="522"/>
      <c r="C126" s="522"/>
      <c r="D126" s="522"/>
      <c r="E126" s="522"/>
      <c r="F126" s="522"/>
      <c r="G126" s="522"/>
      <c r="H126" s="522"/>
      <c r="I126" s="522"/>
      <c r="J126" s="522"/>
    </row>
    <row r="127" spans="1:10" ht="17.25">
      <c r="A127" s="531" t="str">
        <f>A95</f>
        <v>Allocation of ADIT</v>
      </c>
      <c r="B127" s="522"/>
      <c r="C127" s="522"/>
      <c r="D127" s="522"/>
      <c r="E127" s="522"/>
      <c r="F127" s="522"/>
      <c r="G127" s="522"/>
      <c r="H127" s="522"/>
      <c r="I127" s="522"/>
      <c r="J127" s="522"/>
    </row>
    <row r="128" spans="2:8" ht="12.75">
      <c r="B128" s="221"/>
      <c r="F128" s="222"/>
      <c r="G128" s="222"/>
      <c r="H128" s="222"/>
    </row>
    <row r="129" spans="2:10" ht="12.75">
      <c r="B129" s="183" t="s">
        <v>408</v>
      </c>
      <c r="C129" s="185" t="str">
        <f aca="true" t="shared" si="4" ref="C129:J129">C97</f>
        <v>(A)</v>
      </c>
      <c r="D129" s="185" t="str">
        <f t="shared" si="4"/>
        <v>(B)</v>
      </c>
      <c r="E129" s="185" t="str">
        <f t="shared" si="4"/>
        <v>(C)</v>
      </c>
      <c r="F129" s="185" t="str">
        <f t="shared" si="4"/>
        <v>(D)</v>
      </c>
      <c r="G129" s="185" t="str">
        <f t="shared" si="4"/>
        <v>(E)</v>
      </c>
      <c r="H129" s="185" t="str">
        <f>H97</f>
        <v>(F)</v>
      </c>
      <c r="I129" s="185" t="str">
        <f t="shared" si="4"/>
        <v>(G)</v>
      </c>
      <c r="J129" s="185" t="str">
        <f t="shared" si="4"/>
        <v>(G)</v>
      </c>
    </row>
    <row r="130" spans="4:10" ht="12.75">
      <c r="D130" s="184">
        <v>1</v>
      </c>
      <c r="E130" s="184">
        <v>1</v>
      </c>
      <c r="F130" s="185"/>
      <c r="G130" s="185"/>
      <c r="H130" s="185" t="str">
        <f>H98</f>
        <v>100% Retail</v>
      </c>
      <c r="I130" s="185" t="str">
        <f aca="true" t="shared" si="5" ref="I130:J132">I98</f>
        <v>In</v>
      </c>
      <c r="J130" s="185" t="str">
        <f t="shared" si="5"/>
        <v> </v>
      </c>
    </row>
    <row r="131" spans="3:10" ht="12.75">
      <c r="C131" s="193">
        <v>2005</v>
      </c>
      <c r="D131" s="185" t="s">
        <v>402</v>
      </c>
      <c r="E131" s="185" t="s">
        <v>137</v>
      </c>
      <c r="F131" s="185" t="str">
        <f>F99</f>
        <v>Plant </v>
      </c>
      <c r="G131" s="185" t="str">
        <f>G99</f>
        <v>Labor</v>
      </c>
      <c r="H131" s="185" t="str">
        <f>H99</f>
        <v>[Allocate</v>
      </c>
      <c r="I131" s="185" t="str">
        <f t="shared" si="5"/>
        <v>Adjustment</v>
      </c>
      <c r="J131" s="185" t="str">
        <f t="shared" si="5"/>
        <v>Description</v>
      </c>
    </row>
    <row r="132" spans="3:10" ht="12.75">
      <c r="C132" s="185" t="str">
        <f>C100</f>
        <v>YE Balance</v>
      </c>
      <c r="D132" s="185" t="s">
        <v>405</v>
      </c>
      <c r="E132" s="185" t="s">
        <v>405</v>
      </c>
      <c r="F132" s="185" t="str">
        <f>F100</f>
        <v>Related</v>
      </c>
      <c r="G132" s="185" t="str">
        <f>G100</f>
        <v>Related</v>
      </c>
      <c r="H132" s="185" t="str">
        <f>H100</f>
        <v>by Plant]</v>
      </c>
      <c r="I132" s="185" t="str">
        <f t="shared" si="5"/>
        <v>to Ratebase</v>
      </c>
      <c r="J132" s="185" t="str">
        <f t="shared" si="5"/>
        <v>and Justification</v>
      </c>
    </row>
    <row r="133" spans="3:10" ht="12.75">
      <c r="C133" s="185"/>
      <c r="F133" s="185"/>
      <c r="G133" s="185"/>
      <c r="H133" s="185"/>
      <c r="I133" s="185"/>
      <c r="J133" s="185"/>
    </row>
    <row r="134" spans="2:10" ht="13.5">
      <c r="B134" s="235"/>
      <c r="F134" s="195"/>
      <c r="G134" s="195"/>
      <c r="H134" s="195"/>
      <c r="J134" s="236"/>
    </row>
    <row r="135" spans="2:10" ht="12.75">
      <c r="B135" s="198" t="s">
        <v>568</v>
      </c>
      <c r="F135" s="195"/>
      <c r="G135" s="195"/>
      <c r="H135" s="195"/>
      <c r="J135" s="236"/>
    </row>
    <row r="136" spans="1:10" s="195" customFormat="1" ht="12.75">
      <c r="A136" s="195">
        <v>2830240</v>
      </c>
      <c r="B136" s="195" t="s">
        <v>569</v>
      </c>
      <c r="C136" s="484">
        <v>15753291.819999997</v>
      </c>
      <c r="D136" s="237">
        <f>+C136</f>
        <v>15753291.819999997</v>
      </c>
      <c r="E136" s="237"/>
      <c r="F136" s="196">
        <f>+C136-D136-E136-G136</f>
        <v>0</v>
      </c>
      <c r="G136" s="196"/>
      <c r="H136" s="196"/>
      <c r="J136" s="195" t="s">
        <v>417</v>
      </c>
    </row>
    <row r="137" spans="1:10" ht="12.75">
      <c r="A137" s="181">
        <v>2831008</v>
      </c>
      <c r="B137" s="181" t="s">
        <v>570</v>
      </c>
      <c r="C137" s="484">
        <v>0</v>
      </c>
      <c r="D137" s="230"/>
      <c r="E137" s="230"/>
      <c r="F137" s="186">
        <f>+C137-G137</f>
        <v>0</v>
      </c>
      <c r="G137" s="196"/>
      <c r="H137" s="196"/>
      <c r="J137" s="181" t="s">
        <v>105</v>
      </c>
    </row>
    <row r="138" spans="1:10" ht="12.75">
      <c r="A138" s="181">
        <v>2831012</v>
      </c>
      <c r="B138" s="181" t="s">
        <v>571</v>
      </c>
      <c r="C138" s="484">
        <v>-134478.68</v>
      </c>
      <c r="D138" s="230">
        <f>+C138</f>
        <v>-134478.68</v>
      </c>
      <c r="E138" s="230"/>
      <c r="F138" s="196">
        <f>+C138-D138-E138-G138</f>
        <v>0</v>
      </c>
      <c r="G138" s="196"/>
      <c r="H138" s="196"/>
      <c r="I138" s="204" t="s">
        <v>420</v>
      </c>
      <c r="J138" s="181" t="s">
        <v>572</v>
      </c>
    </row>
    <row r="139" spans="1:10" ht="12.75">
      <c r="A139" s="181">
        <v>2831018</v>
      </c>
      <c r="B139" s="181" t="s">
        <v>428</v>
      </c>
      <c r="C139" s="484">
        <v>-66080</v>
      </c>
      <c r="D139" s="230"/>
      <c r="E139" s="230"/>
      <c r="F139" s="186">
        <v>0</v>
      </c>
      <c r="G139" s="196"/>
      <c r="H139" s="196">
        <f>C139</f>
        <v>-66080</v>
      </c>
      <c r="I139" s="204" t="s">
        <v>420</v>
      </c>
      <c r="J139" s="181" t="s">
        <v>573</v>
      </c>
    </row>
    <row r="140" spans="1:10" ht="26.25">
      <c r="A140" s="200">
        <v>2831028</v>
      </c>
      <c r="B140" s="200" t="s">
        <v>574</v>
      </c>
      <c r="C140" s="484">
        <v>28945240.41</v>
      </c>
      <c r="D140" s="231"/>
      <c r="E140" s="231"/>
      <c r="F140" s="201">
        <f aca="true" t="shared" si="6" ref="F140:F147">+C140-G140</f>
        <v>28945240.41</v>
      </c>
      <c r="G140" s="196"/>
      <c r="H140" s="196"/>
      <c r="I140" s="202" t="s">
        <v>420</v>
      </c>
      <c r="J140" s="203" t="s">
        <v>575</v>
      </c>
    </row>
    <row r="141" spans="1:10" ht="12.75">
      <c r="A141" s="200">
        <v>2831030</v>
      </c>
      <c r="B141" s="200" t="s">
        <v>576</v>
      </c>
      <c r="C141" s="484">
        <v>550087.35</v>
      </c>
      <c r="D141" s="231"/>
      <c r="E141" s="231"/>
      <c r="F141" s="201">
        <f t="shared" si="6"/>
        <v>550087.35</v>
      </c>
      <c r="G141" s="196"/>
      <c r="H141" s="196"/>
      <c r="I141" s="202" t="s">
        <v>420</v>
      </c>
      <c r="J141" s="203" t="s">
        <v>577</v>
      </c>
    </row>
    <row r="142" spans="1:10" ht="12.75">
      <c r="A142" s="181">
        <v>2831031</v>
      </c>
      <c r="B142" s="181" t="s">
        <v>578</v>
      </c>
      <c r="C142" s="484">
        <v>4161619.81</v>
      </c>
      <c r="D142" s="230"/>
      <c r="E142" s="230"/>
      <c r="F142" s="186">
        <f t="shared" si="6"/>
        <v>4161619.81</v>
      </c>
      <c r="G142" s="196"/>
      <c r="H142" s="196"/>
      <c r="I142" s="204" t="s">
        <v>420</v>
      </c>
      <c r="J142" s="181" t="s">
        <v>579</v>
      </c>
    </row>
    <row r="143" spans="1:10" ht="12.75">
      <c r="A143" s="181">
        <v>2831033</v>
      </c>
      <c r="B143" s="181" t="s">
        <v>580</v>
      </c>
      <c r="C143" s="484">
        <v>363337.53</v>
      </c>
      <c r="D143" s="230"/>
      <c r="E143" s="230"/>
      <c r="F143" s="186">
        <f t="shared" si="6"/>
        <v>363337.53</v>
      </c>
      <c r="G143" s="196"/>
      <c r="H143" s="196"/>
      <c r="I143" s="204" t="s">
        <v>420</v>
      </c>
      <c r="J143" s="181" t="s">
        <v>581</v>
      </c>
    </row>
    <row r="144" spans="1:10" ht="12.75">
      <c r="A144" s="181">
        <v>2831039</v>
      </c>
      <c r="B144" s="181" t="s">
        <v>582</v>
      </c>
      <c r="C144" s="484">
        <v>1247690</v>
      </c>
      <c r="D144" s="230"/>
      <c r="E144" s="230"/>
      <c r="F144" s="186">
        <f t="shared" si="6"/>
        <v>1247690</v>
      </c>
      <c r="G144" s="196"/>
      <c r="H144" s="196"/>
      <c r="I144" s="204" t="s">
        <v>420</v>
      </c>
      <c r="J144" s="181" t="s">
        <v>583</v>
      </c>
    </row>
    <row r="145" spans="1:10" ht="12.75">
      <c r="A145" s="181">
        <v>2831041</v>
      </c>
      <c r="B145" s="181" t="s">
        <v>584</v>
      </c>
      <c r="C145" s="484">
        <v>7248351.55</v>
      </c>
      <c r="D145" s="230"/>
      <c r="E145" s="230"/>
      <c r="F145" s="186">
        <f t="shared" si="6"/>
        <v>7248351.55</v>
      </c>
      <c r="G145" s="196"/>
      <c r="H145" s="196"/>
      <c r="I145" s="204" t="s">
        <v>420</v>
      </c>
      <c r="J145" s="181" t="s">
        <v>585</v>
      </c>
    </row>
    <row r="146" spans="1:10" ht="12.75">
      <c r="A146" s="490">
        <v>2831095</v>
      </c>
      <c r="B146" s="489" t="s">
        <v>782</v>
      </c>
      <c r="C146" s="491">
        <v>92109.82</v>
      </c>
      <c r="D146" s="230"/>
      <c r="E146" s="230"/>
      <c r="F146" s="242">
        <f t="shared" si="6"/>
        <v>92109.82</v>
      </c>
      <c r="G146" s="196"/>
      <c r="H146" s="196"/>
      <c r="I146" s="204" t="s">
        <v>420</v>
      </c>
      <c r="J146" s="209" t="s">
        <v>484</v>
      </c>
    </row>
    <row r="147" spans="1:10" ht="12.75">
      <c r="A147" s="490">
        <v>2831096</v>
      </c>
      <c r="B147" s="489" t="s">
        <v>781</v>
      </c>
      <c r="C147" s="491">
        <v>28842.67</v>
      </c>
      <c r="D147" s="230"/>
      <c r="E147" s="230"/>
      <c r="F147" s="242">
        <f t="shared" si="6"/>
        <v>28842.67</v>
      </c>
      <c r="G147" s="196"/>
      <c r="H147" s="196"/>
      <c r="I147" s="204" t="s">
        <v>420</v>
      </c>
      <c r="J147" s="209" t="s">
        <v>485</v>
      </c>
    </row>
    <row r="148" spans="1:8" ht="12.75">
      <c r="A148" s="197" t="s">
        <v>105</v>
      </c>
      <c r="C148" s="230" t="s">
        <v>105</v>
      </c>
      <c r="D148" s="230"/>
      <c r="E148" s="230"/>
      <c r="F148" s="230" t="s">
        <v>105</v>
      </c>
      <c r="G148" s="196"/>
      <c r="H148" s="196"/>
    </row>
    <row r="149" spans="1:8" ht="12.75">
      <c r="A149" s="197"/>
      <c r="B149" s="212" t="s">
        <v>586</v>
      </c>
      <c r="C149" s="230"/>
      <c r="D149" s="230"/>
      <c r="E149" s="230"/>
      <c r="F149" s="230"/>
      <c r="G149" s="196"/>
      <c r="H149" s="196"/>
    </row>
    <row r="150" spans="1:10" ht="12.75">
      <c r="A150" s="181">
        <v>2832067</v>
      </c>
      <c r="B150" s="181" t="s">
        <v>587</v>
      </c>
      <c r="C150" s="484">
        <v>580059</v>
      </c>
      <c r="D150" s="230"/>
      <c r="E150" s="230"/>
      <c r="F150" s="186"/>
      <c r="G150" s="196"/>
      <c r="H150" s="196"/>
      <c r="I150" s="204" t="s">
        <v>489</v>
      </c>
      <c r="J150" s="181" t="s">
        <v>521</v>
      </c>
    </row>
    <row r="151" spans="1:10" ht="12.75">
      <c r="A151" s="181">
        <v>2832060</v>
      </c>
      <c r="B151" s="181" t="s">
        <v>588</v>
      </c>
      <c r="C151" s="484">
        <v>-69723.28</v>
      </c>
      <c r="D151" s="230"/>
      <c r="E151" s="230"/>
      <c r="F151" s="186"/>
      <c r="G151" s="196"/>
      <c r="H151" s="196"/>
      <c r="I151" s="204" t="s">
        <v>489</v>
      </c>
      <c r="J151" s="181" t="s">
        <v>521</v>
      </c>
    </row>
    <row r="152" spans="1:10" ht="12.75">
      <c r="A152" s="181">
        <v>2832081</v>
      </c>
      <c r="B152" s="181" t="s">
        <v>589</v>
      </c>
      <c r="C152" s="484">
        <v>1023951.06</v>
      </c>
      <c r="D152" s="230"/>
      <c r="E152" s="230"/>
      <c r="F152" s="186"/>
      <c r="G152" s="196"/>
      <c r="H152" s="196"/>
      <c r="I152" s="204" t="s">
        <v>489</v>
      </c>
      <c r="J152" s="181" t="s">
        <v>521</v>
      </c>
    </row>
    <row r="153" spans="1:10" ht="12.75">
      <c r="A153" s="181">
        <v>2832082</v>
      </c>
      <c r="B153" s="181" t="s">
        <v>590</v>
      </c>
      <c r="C153" s="484">
        <v>-1023951.06</v>
      </c>
      <c r="D153" s="230"/>
      <c r="E153" s="230"/>
      <c r="F153" s="186"/>
      <c r="G153" s="196"/>
      <c r="H153" s="196"/>
      <c r="I153" s="204" t="s">
        <v>489</v>
      </c>
      <c r="J153" s="181" t="s">
        <v>521</v>
      </c>
    </row>
    <row r="154" spans="1:10" ht="12.75">
      <c r="A154" s="181">
        <v>2832093</v>
      </c>
      <c r="B154" s="181" t="s">
        <v>591</v>
      </c>
      <c r="C154" s="484">
        <v>1214874.65</v>
      </c>
      <c r="D154" s="230"/>
      <c r="E154" s="230"/>
      <c r="F154" s="186"/>
      <c r="G154" s="196"/>
      <c r="H154" s="196"/>
      <c r="I154" s="204" t="s">
        <v>489</v>
      </c>
      <c r="J154" s="181" t="s">
        <v>521</v>
      </c>
    </row>
    <row r="155" spans="1:8" ht="12.75">
      <c r="A155" s="197" t="s">
        <v>105</v>
      </c>
      <c r="C155" s="230" t="s">
        <v>105</v>
      </c>
      <c r="D155" s="230"/>
      <c r="E155" s="230"/>
      <c r="F155" s="230" t="s">
        <v>105</v>
      </c>
      <c r="G155" s="196"/>
      <c r="H155" s="196"/>
    </row>
    <row r="156" spans="1:8" ht="12.75">
      <c r="A156" s="197"/>
      <c r="B156" s="198" t="s">
        <v>592</v>
      </c>
      <c r="C156" s="230"/>
      <c r="D156" s="230"/>
      <c r="E156" s="230"/>
      <c r="F156" s="230"/>
      <c r="G156" s="196"/>
      <c r="H156" s="196"/>
    </row>
    <row r="157" spans="1:10" ht="26.25">
      <c r="A157" s="200">
        <v>2837091</v>
      </c>
      <c r="B157" s="208" t="s">
        <v>593</v>
      </c>
      <c r="C157" s="238" t="s">
        <v>520</v>
      </c>
      <c r="D157" s="238"/>
      <c r="E157" s="238"/>
      <c r="F157" s="186"/>
      <c r="G157" s="196"/>
      <c r="H157" s="196"/>
      <c r="I157" s="202" t="s">
        <v>489</v>
      </c>
      <c r="J157" s="200" t="s">
        <v>521</v>
      </c>
    </row>
    <row r="158" spans="1:10" ht="26.25">
      <c r="A158" s="200">
        <v>2837092</v>
      </c>
      <c r="B158" s="208" t="s">
        <v>594</v>
      </c>
      <c r="C158" s="238" t="s">
        <v>520</v>
      </c>
      <c r="D158" s="238"/>
      <c r="E158" s="238"/>
      <c r="F158" s="186"/>
      <c r="G158" s="196"/>
      <c r="H158" s="196"/>
      <c r="I158" s="202" t="s">
        <v>489</v>
      </c>
      <c r="J158" s="200" t="s">
        <v>521</v>
      </c>
    </row>
    <row r="159" spans="1:10" ht="12.75">
      <c r="A159" s="181">
        <v>2837093</v>
      </c>
      <c r="B159" s="181" t="s">
        <v>595</v>
      </c>
      <c r="C159" s="484">
        <v>-25341051.93</v>
      </c>
      <c r="D159" s="230"/>
      <c r="E159" s="230"/>
      <c r="F159" s="186"/>
      <c r="G159" s="196"/>
      <c r="H159" s="196"/>
      <c r="I159" s="204" t="s">
        <v>489</v>
      </c>
      <c r="J159" s="181" t="s">
        <v>521</v>
      </c>
    </row>
    <row r="160" spans="1:10" ht="26.25">
      <c r="A160" s="200">
        <v>2837095</v>
      </c>
      <c r="B160" s="208" t="s">
        <v>596</v>
      </c>
      <c r="C160" s="484">
        <v>-62763.3</v>
      </c>
      <c r="D160" s="231"/>
      <c r="E160" s="231"/>
      <c r="F160" s="186"/>
      <c r="G160" s="196"/>
      <c r="H160" s="196"/>
      <c r="I160" s="202" t="s">
        <v>489</v>
      </c>
      <c r="J160" s="200" t="s">
        <v>521</v>
      </c>
    </row>
    <row r="161" spans="1:10" ht="26.25">
      <c r="A161" s="200">
        <v>2837096</v>
      </c>
      <c r="B161" s="208" t="s">
        <v>598</v>
      </c>
      <c r="C161" s="238" t="s">
        <v>520</v>
      </c>
      <c r="D161" s="238"/>
      <c r="E161" s="238"/>
      <c r="F161" s="186"/>
      <c r="G161" s="196"/>
      <c r="H161" s="196"/>
      <c r="I161" s="202" t="s">
        <v>489</v>
      </c>
      <c r="J161" s="200" t="s">
        <v>521</v>
      </c>
    </row>
    <row r="162" spans="1:10" ht="12.75">
      <c r="A162" s="181">
        <v>2837098</v>
      </c>
      <c r="B162" s="181" t="s">
        <v>599</v>
      </c>
      <c r="C162" s="239" t="s">
        <v>520</v>
      </c>
      <c r="D162" s="239"/>
      <c r="E162" s="239"/>
      <c r="F162" s="186"/>
      <c r="G162" s="196"/>
      <c r="H162" s="196"/>
      <c r="I162" s="204" t="s">
        <v>489</v>
      </c>
      <c r="J162" s="181" t="s">
        <v>521</v>
      </c>
    </row>
    <row r="163" spans="1:10" ht="12.75">
      <c r="A163" s="181">
        <v>2837099</v>
      </c>
      <c r="B163" s="181" t="s">
        <v>600</v>
      </c>
      <c r="C163" s="484">
        <v>62763.3</v>
      </c>
      <c r="D163" s="230"/>
      <c r="E163" s="230"/>
      <c r="F163" s="186"/>
      <c r="G163" s="196"/>
      <c r="H163" s="196"/>
      <c r="I163" s="204" t="s">
        <v>489</v>
      </c>
      <c r="J163" s="181" t="s">
        <v>521</v>
      </c>
    </row>
    <row r="164" spans="1:8" ht="12.75">
      <c r="A164" s="197" t="s">
        <v>105</v>
      </c>
      <c r="C164" s="230" t="s">
        <v>105</v>
      </c>
      <c r="D164" s="230"/>
      <c r="E164" s="230"/>
      <c r="F164" s="230" t="s">
        <v>105</v>
      </c>
      <c r="G164" s="196"/>
      <c r="H164" s="196"/>
    </row>
    <row r="165" spans="1:8" ht="12.75">
      <c r="A165" s="183" t="s">
        <v>105</v>
      </c>
      <c r="B165" s="183" t="s">
        <v>105</v>
      </c>
      <c r="C165" s="230" t="s">
        <v>105</v>
      </c>
      <c r="D165" s="230"/>
      <c r="E165" s="230"/>
      <c r="F165" s="230" t="s">
        <v>105</v>
      </c>
      <c r="G165" s="196"/>
      <c r="H165" s="196"/>
    </row>
    <row r="166" spans="1:10" s="195" customFormat="1" ht="12.75">
      <c r="A166" s="240" t="s">
        <v>105</v>
      </c>
      <c r="B166" s="240" t="s">
        <v>601</v>
      </c>
      <c r="C166" s="237">
        <f>-C136</f>
        <v>-15753291.819999997</v>
      </c>
      <c r="D166" s="237">
        <f>-D136</f>
        <v>-15753291.819999997</v>
      </c>
      <c r="E166" s="237"/>
      <c r="F166" s="186">
        <f>+C166-D166-E166-G166</f>
        <v>0</v>
      </c>
      <c r="G166" s="196"/>
      <c r="H166" s="196"/>
      <c r="J166" s="195" t="s">
        <v>417</v>
      </c>
    </row>
    <row r="167" spans="1:8" ht="12.75">
      <c r="A167" s="181"/>
      <c r="C167" s="186"/>
      <c r="D167" s="186"/>
      <c r="E167" s="186"/>
      <c r="F167" s="230"/>
      <c r="G167" s="196"/>
      <c r="H167" s="196"/>
    </row>
    <row r="168" spans="2:9" ht="13.5">
      <c r="B168" s="215" t="s">
        <v>602</v>
      </c>
      <c r="C168" s="186"/>
      <c r="D168" s="186">
        <f>SUM(D136:D166)</f>
        <v>-134478.6799999997</v>
      </c>
      <c r="E168" s="186">
        <f>SUM(E136:E166)</f>
        <v>0</v>
      </c>
      <c r="F168" s="241">
        <f>SUM(F136:F166)</f>
        <v>42637279.14</v>
      </c>
      <c r="G168" s="241">
        <f>SUM(G136:G166)</f>
        <v>0</v>
      </c>
      <c r="H168" s="241">
        <f>SUM(H136:H166)</f>
        <v>-66080</v>
      </c>
      <c r="I168" s="242">
        <f>+D168+E168+F168+H168</f>
        <v>42436720.46</v>
      </c>
    </row>
    <row r="169" spans="2:9" ht="13.5">
      <c r="B169" s="217" t="s">
        <v>540</v>
      </c>
      <c r="C169" s="186"/>
      <c r="D169" s="186"/>
      <c r="E169" s="186"/>
      <c r="F169" s="241"/>
      <c r="G169" s="241"/>
      <c r="H169" s="241"/>
      <c r="I169" s="234"/>
    </row>
    <row r="170" spans="2:9" ht="13.5">
      <c r="B170" s="217" t="s">
        <v>541</v>
      </c>
      <c r="C170" s="186"/>
      <c r="D170" s="186"/>
      <c r="E170" s="186"/>
      <c r="F170" s="241"/>
      <c r="G170" s="241"/>
      <c r="H170" s="241"/>
      <c r="I170" s="234"/>
    </row>
    <row r="171" spans="2:8" ht="13.5">
      <c r="B171" s="217" t="s">
        <v>113</v>
      </c>
      <c r="C171" s="186"/>
      <c r="D171" s="241">
        <f>+D168-D169-D170</f>
        <v>-134478.6799999997</v>
      </c>
      <c r="E171" s="241">
        <f>+E168-E169-E170</f>
        <v>0</v>
      </c>
      <c r="F171" s="241">
        <f>+F168-F169-F170</f>
        <v>42637279.14</v>
      </c>
      <c r="G171" s="241">
        <f>+G168-G169-G170</f>
        <v>0</v>
      </c>
      <c r="H171" s="241">
        <f>+H168-H169-H170</f>
        <v>-66080</v>
      </c>
    </row>
    <row r="172" spans="2:8" ht="13.5">
      <c r="B172" s="217"/>
      <c r="F172" s="226"/>
      <c r="G172" s="226"/>
      <c r="H172" s="226"/>
    </row>
    <row r="173" spans="2:8" ht="13.5">
      <c r="B173" s="217"/>
      <c r="D173" s="243"/>
      <c r="F173" s="222"/>
      <c r="G173" s="222"/>
      <c r="H173" s="222"/>
    </row>
    <row r="174" spans="2:8" ht="25.5" customHeight="1">
      <c r="B174" s="527"/>
      <c r="C174" s="528"/>
      <c r="D174" s="528"/>
      <c r="E174" s="528"/>
      <c r="F174" s="528"/>
      <c r="G174" s="528"/>
      <c r="H174" s="267"/>
    </row>
    <row r="175" spans="2:8" ht="13.5">
      <c r="B175" s="224"/>
      <c r="F175" s="222"/>
      <c r="G175" s="222"/>
      <c r="H175" s="222"/>
    </row>
    <row r="176" spans="2:8" ht="13.5">
      <c r="B176" s="224"/>
      <c r="F176" s="222"/>
      <c r="G176" s="222"/>
      <c r="H176" s="222"/>
    </row>
    <row r="177" ht="13.5">
      <c r="B177" s="224"/>
    </row>
    <row r="178" spans="2:9" ht="12.75">
      <c r="B178" s="529"/>
      <c r="C178" s="530"/>
      <c r="D178" s="530"/>
      <c r="E178" s="530"/>
      <c r="F178" s="530"/>
      <c r="G178" s="530"/>
      <c r="H178" s="203"/>
      <c r="I178" s="234"/>
    </row>
    <row r="179" spans="2:8" ht="12.75">
      <c r="B179" s="530"/>
      <c r="C179" s="530"/>
      <c r="D179" s="530"/>
      <c r="E179" s="530"/>
      <c r="F179" s="530"/>
      <c r="G179" s="530"/>
      <c r="H179" s="203"/>
    </row>
    <row r="180" ht="13.5">
      <c r="B180" s="224"/>
    </row>
  </sheetData>
  <mergeCells count="10">
    <mergeCell ref="B174:G174"/>
    <mergeCell ref="B178:G179"/>
    <mergeCell ref="A3:I3"/>
    <mergeCell ref="A4:I4"/>
    <mergeCell ref="A20:J20"/>
    <mergeCell ref="A21:J21"/>
    <mergeCell ref="A94:J94"/>
    <mergeCell ref="A95:J95"/>
    <mergeCell ref="A126:J126"/>
    <mergeCell ref="A127:J127"/>
  </mergeCells>
  <printOptions horizontalCentered="1"/>
  <pageMargins left="0.32" right="0.3" top="0.5" bottom="0" header="0.5" footer="0.25"/>
  <pageSetup horizontalDpi="600" verticalDpi="600" orientation="landscape" scale="50" r:id="rId1"/>
  <headerFooter alignWithMargins="0">
    <oddFooter>&amp;L&amp;D&amp;R&amp;F, &amp;A</oddFooter>
  </headerFooter>
  <rowBreaks count="3" manualBreakCount="3">
    <brk id="17" max="9" man="1"/>
    <brk id="91" max="9" man="1"/>
    <brk id="123" max="9" man="1"/>
  </rowBreaks>
</worksheet>
</file>

<file path=xl/worksheets/sheet9.xml><?xml version="1.0" encoding="utf-8"?>
<worksheet xmlns="http://schemas.openxmlformats.org/spreadsheetml/2006/main" xmlns:r="http://schemas.openxmlformats.org/officeDocument/2006/relationships">
  <dimension ref="A1:L11"/>
  <sheetViews>
    <sheetView view="pageBreakPreview" zoomScale="60" workbookViewId="0" topLeftCell="A1">
      <selection activeCell="A2" sqref="A2"/>
    </sheetView>
  </sheetViews>
  <sheetFormatPr defaultColWidth="8.88671875" defaultRowHeight="15"/>
  <cols>
    <col min="1" max="1" width="6.88671875" style="0" customWidth="1"/>
    <col min="2" max="2" width="3.88671875" style="0" customWidth="1"/>
    <col min="3" max="3" width="31.88671875" style="0" customWidth="1"/>
    <col min="4" max="4" width="40.77734375" style="0" customWidth="1"/>
    <col min="5" max="5" width="13.88671875" style="0" customWidth="1"/>
    <col min="6" max="6" width="14.88671875" style="0" customWidth="1"/>
    <col min="7" max="7" width="5.5546875" style="0" customWidth="1"/>
    <col min="8" max="8" width="12.77734375" style="0" customWidth="1"/>
    <col min="9" max="9" width="3.88671875" style="0" customWidth="1"/>
    <col min="10" max="10" width="14.10546875" style="0" customWidth="1"/>
    <col min="11" max="11" width="3.6640625" style="0" customWidth="1"/>
    <col min="12" max="12" width="6.88671875" style="0" customWidth="1"/>
  </cols>
  <sheetData>
    <row r="1" ht="24.75">
      <c r="A1" s="395" t="s">
        <v>816</v>
      </c>
    </row>
    <row r="2" spans="2:12" ht="27" customHeight="1">
      <c r="B2" s="396"/>
      <c r="C2" s="397"/>
      <c r="D2" s="525" t="s">
        <v>665</v>
      </c>
      <c r="E2" s="526"/>
      <c r="F2" s="526"/>
      <c r="G2" s="147"/>
      <c r="H2" s="147"/>
      <c r="J2" s="417" t="s">
        <v>339</v>
      </c>
      <c r="K2" s="147"/>
      <c r="L2" s="150"/>
    </row>
    <row r="3" spans="1:12" ht="27" customHeight="1">
      <c r="A3" s="399"/>
      <c r="B3" s="525" t="s">
        <v>79</v>
      </c>
      <c r="C3" s="510"/>
      <c r="D3" s="510"/>
      <c r="E3" s="510"/>
      <c r="F3" s="510"/>
      <c r="G3" s="510"/>
      <c r="H3" s="510"/>
      <c r="I3" s="510"/>
      <c r="J3" s="510"/>
      <c r="K3" s="147"/>
      <c r="L3" s="150"/>
    </row>
    <row r="4" spans="1:12" ht="20.25" customHeight="1">
      <c r="A4" s="399"/>
      <c r="B4" s="396"/>
      <c r="C4" s="398"/>
      <c r="K4" s="147"/>
      <c r="L4" s="150"/>
    </row>
    <row r="5" spans="1:12" ht="72.75" customHeight="1">
      <c r="A5" s="400" t="s">
        <v>325</v>
      </c>
      <c r="B5" s="147"/>
      <c r="C5" s="149"/>
      <c r="D5" s="174"/>
      <c r="E5" s="174"/>
      <c r="F5" s="174"/>
      <c r="G5" s="147"/>
      <c r="H5" s="147"/>
      <c r="K5" s="147"/>
      <c r="L5" s="150"/>
    </row>
    <row r="6" spans="1:11" ht="20.25" customHeight="1">
      <c r="A6" s="403" t="s">
        <v>164</v>
      </c>
      <c r="B6" s="100"/>
      <c r="C6" s="404" t="s">
        <v>163</v>
      </c>
      <c r="D6" s="405" t="s">
        <v>105</v>
      </c>
      <c r="E6" s="406"/>
      <c r="F6" s="407"/>
      <c r="G6" s="407"/>
      <c r="H6" s="407"/>
      <c r="I6" s="102"/>
      <c r="J6" s="102"/>
      <c r="K6" s="148"/>
    </row>
    <row r="7" spans="1:11" ht="20.25" customHeight="1">
      <c r="A7" s="100"/>
      <c r="B7" s="100"/>
      <c r="C7" s="411" t="s">
        <v>354</v>
      </c>
      <c r="D7" s="406" t="s">
        <v>105</v>
      </c>
      <c r="E7" s="403"/>
      <c r="F7" s="407"/>
      <c r="G7" s="407"/>
      <c r="H7" s="100"/>
      <c r="I7" s="102"/>
      <c r="J7" s="415">
        <v>47057967</v>
      </c>
      <c r="K7" s="148"/>
    </row>
    <row r="8" spans="1:11" ht="20.25" customHeight="1">
      <c r="A8" s="100"/>
      <c r="B8" s="100"/>
      <c r="C8" s="413" t="s">
        <v>330</v>
      </c>
      <c r="D8" s="414"/>
      <c r="E8" s="100"/>
      <c r="F8" s="407"/>
      <c r="G8" s="407"/>
      <c r="H8" s="100"/>
      <c r="I8" s="102"/>
      <c r="J8" s="415"/>
      <c r="K8" s="148"/>
    </row>
    <row r="9" spans="1:11" ht="20.25" customHeight="1">
      <c r="A9" s="100"/>
      <c r="B9" s="100"/>
      <c r="C9" s="403" t="s">
        <v>765</v>
      </c>
      <c r="D9" s="100"/>
      <c r="E9" s="100"/>
      <c r="F9" s="407"/>
      <c r="G9" s="407"/>
      <c r="H9" s="100"/>
      <c r="I9" s="102"/>
      <c r="J9" s="406">
        <f>4491643.5/2</f>
        <v>2245821.75</v>
      </c>
      <c r="K9" s="148"/>
    </row>
    <row r="10" spans="1:11" ht="20.25" customHeight="1">
      <c r="A10" s="100"/>
      <c r="B10" s="100"/>
      <c r="C10" s="407" t="s">
        <v>9</v>
      </c>
      <c r="D10" s="407"/>
      <c r="E10" s="407"/>
      <c r="F10" s="407"/>
      <c r="G10" s="407"/>
      <c r="H10" s="100"/>
      <c r="I10" s="102"/>
      <c r="J10" s="416">
        <f>+J7-J9</f>
        <v>44812145.25</v>
      </c>
      <c r="K10" s="148"/>
    </row>
    <row r="11" spans="1:12" ht="20.25" customHeight="1">
      <c r="A11" s="100"/>
      <c r="B11" s="100"/>
      <c r="D11" s="100"/>
      <c r="E11" s="100"/>
      <c r="F11" s="100"/>
      <c r="G11" s="100"/>
      <c r="H11" s="100"/>
      <c r="I11" s="100"/>
      <c r="J11" s="100"/>
      <c r="K11" s="100"/>
      <c r="L11" s="100"/>
    </row>
  </sheetData>
  <mergeCells count="2">
    <mergeCell ref="D2:F2"/>
    <mergeCell ref="B3:J3"/>
  </mergeCells>
  <printOptions/>
  <pageMargins left="0.57" right="0.3" top="0.77" bottom="0.75" header="0.5" footer="0.5"/>
  <pageSetup fitToHeight="6" horizontalDpi="600" verticalDpi="600" orientation="portrait" scale="51" r:id="rId1"/>
  <headerFooter alignWithMargins="0">
    <oddFooter>&amp;L&amp;D&amp;R&amp;F,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rds0500</cp:lastModifiedBy>
  <cp:lastPrinted>2006-06-29T20:02:27Z</cp:lastPrinted>
  <dcterms:created xsi:type="dcterms:W3CDTF">1997-04-03T19:40:56Z</dcterms:created>
  <dcterms:modified xsi:type="dcterms:W3CDTF">2006-11-21T20:41:16Z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